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jpirrie\Documents\"/>
    </mc:Choice>
  </mc:AlternateContent>
  <xr:revisionPtr revIDLastSave="0" documentId="8_{77B81FBB-3687-4E8F-BAA7-C08B6274008C}" xr6:coauthVersionLast="44" xr6:coauthVersionMax="44" xr10:uidLastSave="{00000000-0000-0000-0000-000000000000}"/>
  <bookViews>
    <workbookView xWindow="35760" yWindow="345" windowWidth="20325" windowHeight="15030" activeTab="3" xr2:uid="{00000000-000D-0000-FFFF-FFFF00000000}"/>
  </bookViews>
  <sheets>
    <sheet name="CMS summary" sheetId="4" r:id="rId1"/>
    <sheet name="Formula CS3" sheetId="1" r:id="rId2"/>
    <sheet name="Process" sheetId="5" r:id="rId3"/>
    <sheet name="Checklist 1st mtg Sch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1" l="1"/>
  <c r="J2" i="1"/>
  <c r="E24" i="1"/>
  <c r="E23" i="1"/>
  <c r="E22" i="1"/>
  <c r="E19" i="1"/>
  <c r="E18" i="1"/>
  <c r="E17" i="1"/>
  <c r="E16" i="1"/>
  <c r="E15" i="1"/>
  <c r="E20" i="1" l="1"/>
  <c r="E34" i="1"/>
  <c r="E25" i="1" l="1"/>
  <c r="F25" i="1" l="1"/>
  <c r="B62" i="1"/>
  <c r="B61" i="1"/>
  <c r="B60" i="1"/>
  <c r="C43" i="1" l="1"/>
  <c r="C42" i="1"/>
  <c r="C41" i="1"/>
  <c r="C26" i="1"/>
  <c r="D26" i="1" l="1"/>
  <c r="E46" i="1" l="1"/>
  <c r="D46" i="1"/>
  <c r="B53" i="1"/>
  <c r="C53" i="1" s="1"/>
  <c r="E9" i="1"/>
  <c r="E26" i="1" s="1"/>
  <c r="D9" i="1"/>
  <c r="E54" i="1" l="1"/>
  <c r="F9" i="1"/>
  <c r="F26" i="1" s="1"/>
  <c r="F29" i="1" l="1"/>
  <c r="N29" i="1" l="1"/>
  <c r="J29" i="1"/>
  <c r="J34" i="1" s="1"/>
  <c r="I47" i="1" s="1"/>
  <c r="I48" i="1" s="1"/>
  <c r="F31" i="1"/>
  <c r="F34" i="1" s="1"/>
  <c r="C38" i="1"/>
  <c r="H47" i="1" l="1"/>
  <c r="H48" i="1" s="1"/>
  <c r="J49" i="1" s="1"/>
  <c r="J54" i="1" s="1"/>
  <c r="J57" i="1" s="1"/>
  <c r="J61" i="1" s="1"/>
  <c r="H61" i="1" s="1"/>
  <c r="I61" i="1" s="1"/>
  <c r="M47" i="1"/>
  <c r="M48" i="1" s="1"/>
  <c r="L47" i="1"/>
  <c r="F38" i="1"/>
  <c r="C40" i="1"/>
  <c r="F46" i="1"/>
  <c r="L48" i="1" l="1"/>
  <c r="N49" i="1" s="1"/>
  <c r="J62" i="1"/>
  <c r="H62" i="1" s="1"/>
  <c r="I62" i="1" s="1"/>
  <c r="J60" i="1"/>
  <c r="H60" i="1" s="1"/>
  <c r="I60" i="1" s="1"/>
  <c r="H57" i="1"/>
  <c r="I57" i="1" s="1"/>
  <c r="E47" i="1"/>
  <c r="E48" i="1" s="1"/>
  <c r="D47" i="1"/>
  <c r="D48" i="1" s="1"/>
  <c r="F42" i="1"/>
  <c r="F41" i="1"/>
  <c r="F43" i="1"/>
  <c r="N54" i="1" l="1"/>
  <c r="N57" i="1" s="1"/>
  <c r="F48" i="1"/>
  <c r="L57" i="1" l="1"/>
  <c r="M57" i="1" s="1"/>
  <c r="N60" i="1"/>
  <c r="L60" i="1" s="1"/>
  <c r="M60" i="1" s="1"/>
  <c r="N62" i="1"/>
  <c r="L62" i="1" s="1"/>
  <c r="M62" i="1" s="1"/>
  <c r="N61" i="1"/>
  <c r="L61" i="1" s="1"/>
  <c r="M61" i="1" s="1"/>
  <c r="F49" i="1"/>
  <c r="F54" i="1" s="1"/>
  <c r="E57" i="1" s="1"/>
  <c r="E58" i="1" l="1"/>
  <c r="B63" i="1" s="1"/>
  <c r="N63" i="1" s="1"/>
  <c r="L63" i="1" s="1"/>
  <c r="M63" i="1" s="1"/>
  <c r="C57" i="1"/>
  <c r="E63" i="1" l="1"/>
  <c r="C63" i="1" s="1"/>
  <c r="D63" i="1" s="1"/>
  <c r="J63" i="1"/>
  <c r="H63" i="1" s="1"/>
  <c r="I63" i="1" s="1"/>
  <c r="E62" i="1"/>
  <c r="E60" i="1"/>
  <c r="E61" i="1"/>
  <c r="D57" i="1"/>
  <c r="D58" i="1" s="1"/>
  <c r="C58" i="1"/>
  <c r="C62" i="1" l="1"/>
  <c r="C61" i="1"/>
  <c r="C60" i="1"/>
  <c r="D61" i="1"/>
  <c r="D60" i="1"/>
  <c r="D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jmp</author>
  </authors>
  <commentList>
    <comment ref="B15" authorId="0" shapeId="0" xr:uid="{00000000-0006-0000-0000-000001000000}">
      <text>
        <r>
          <rPr>
            <sz val="9"/>
            <color indexed="81"/>
            <rFont val="Tahoma"/>
            <family val="2"/>
          </rPr>
          <t>CS(v)regs 2000 SI2001 no 156, reg 13 … up to 35% of the boarding school fees allowed [but not so as to reduce the income by 50%</t>
        </r>
      </text>
    </comment>
    <comment ref="B16" authorId="0" shapeId="0" xr:uid="{00000000-0006-0000-0000-000002000000}">
      <text>
        <r>
          <rPr>
            <sz val="9"/>
            <color indexed="81"/>
            <rFont val="Tahoma"/>
            <family val="2"/>
          </rPr>
          <t>CS(V)regs 2000 r10.  Can't double up with allowances for overnight stays.</t>
        </r>
      </text>
    </comment>
    <comment ref="B17" authorId="0" shapeId="0" xr:uid="{00000000-0006-0000-0000-000003000000}">
      <text>
        <r>
          <rPr>
            <sz val="9"/>
            <color indexed="81"/>
            <rFont val="Tahoma"/>
            <family val="2"/>
          </rPr>
          <t>CS(V) regs 2000 r11.  The disability of the relevant other child [ie in PP's household.</t>
        </r>
      </text>
    </comment>
    <comment ref="B18" authorId="0" shapeId="0" xr:uid="{00000000-0006-0000-0000-000004000000}">
      <text>
        <r>
          <rPr>
            <sz val="9"/>
            <color indexed="81"/>
            <rFont val="Tahoma"/>
            <family val="2"/>
          </rPr>
          <t>CS(V) regs 2000 r12.   Interest on debt incurred during the relationship for joint benefit - but many exclusions.</t>
        </r>
      </text>
    </comment>
    <comment ref="B19" authorId="0" shapeId="0" xr:uid="{00000000-0006-0000-0000-000005000000}">
      <text>
        <r>
          <rPr>
            <sz val="9"/>
            <color indexed="81"/>
            <rFont val="Tahoma"/>
            <family val="2"/>
          </rPr>
          <t>CS(V) regs 2000 r14.  Interest on mortgages or home improvement loans, where PP has no ongoing interest</t>
        </r>
      </text>
    </comment>
  </commentList>
</comments>
</file>

<file path=xl/sharedStrings.xml><?xml version="1.0" encoding="utf-8"?>
<sst xmlns="http://schemas.openxmlformats.org/spreadsheetml/2006/main" count="242" uniqueCount="230">
  <si>
    <t>p/a</t>
  </si>
  <si>
    <t>p/m</t>
  </si>
  <si>
    <t>p/w</t>
  </si>
  <si>
    <t xml:space="preserve">Fill in the boxes marked in: </t>
  </si>
  <si>
    <t>add holidays</t>
  </si>
  <si>
    <t>so total for year is approx</t>
  </si>
  <si>
    <t>discount is therefore</t>
  </si>
  <si>
    <t>TOTAL SUMS DUE under CS3</t>
  </si>
  <si>
    <t xml:space="preserve"> C S 3</t>
  </si>
  <si>
    <t xml:space="preserve">per fortnight </t>
  </si>
  <si>
    <t>brtb</t>
  </si>
  <si>
    <t>hrtb</t>
  </si>
  <si>
    <t>c/f</t>
  </si>
  <si>
    <t>Insert net after occupational pensions and tax</t>
  </si>
  <si>
    <t>allowance therefore:</t>
  </si>
  <si>
    <t>(note net income calculates automatically otherwise)</t>
  </si>
  <si>
    <t>sums that are falling into assessment in the 2 tax brackets:</t>
  </si>
  <si>
    <t>total:</t>
  </si>
  <si>
    <t>('brt' = basic rate tax bracket and 'hrt' is higher)</t>
  </si>
  <si>
    <r>
      <t xml:space="preserve">3  </t>
    </r>
    <r>
      <rPr>
        <b/>
        <u/>
        <sz val="12"/>
        <rFont val="Arial"/>
        <family val="2"/>
      </rPr>
      <t xml:space="preserve">O… other </t>
    </r>
    <r>
      <rPr>
        <u/>
        <sz val="12"/>
        <rFont val="Arial"/>
        <family val="2"/>
      </rPr>
      <t>Kids: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those in the PP's h'hld</t>
    </r>
  </si>
  <si>
    <r>
      <t xml:space="preserve">4   </t>
    </r>
    <r>
      <rPr>
        <b/>
        <u/>
        <sz val="10"/>
        <rFont val="Arial"/>
        <family val="2"/>
      </rPr>
      <t>D</t>
    </r>
    <r>
      <rPr>
        <sz val="10"/>
        <rFont val="Arial"/>
        <family val="2"/>
      </rPr>
      <t xml:space="preserve">… </t>
    </r>
    <r>
      <rPr>
        <b/>
        <u/>
        <sz val="10"/>
        <rFont val="Arial"/>
        <family val="2"/>
      </rPr>
      <t>Due Kids</t>
    </r>
    <r>
      <rPr>
        <sz val="10"/>
        <rFont val="Arial"/>
        <family val="2"/>
      </rPr>
      <t xml:space="preserve">: </t>
    </r>
    <r>
      <rPr>
        <sz val="9"/>
        <rFont val="Arial"/>
        <family val="2"/>
      </rPr>
      <t>number being supported</t>
    </r>
  </si>
  <si>
    <t>James Pirrie, tel 020 7420 5007</t>
  </si>
  <si>
    <r>
      <t xml:space="preserve">1  </t>
    </r>
    <r>
      <rPr>
        <b/>
        <u/>
        <sz val="10"/>
        <rFont val="Arial"/>
        <family val="2"/>
      </rPr>
      <t>I</t>
    </r>
    <r>
      <rPr>
        <sz val="10"/>
        <rFont val="Arial"/>
        <family val="2"/>
      </rPr>
      <t xml:space="preserve">  ... </t>
    </r>
    <r>
      <rPr>
        <b/>
        <i/>
        <u/>
        <sz val="10"/>
        <rFont val="Arial"/>
        <family val="2"/>
      </rPr>
      <t>income</t>
    </r>
    <r>
      <rPr>
        <sz val="10"/>
        <rFont val="Arial"/>
        <family val="2"/>
      </rPr>
      <t xml:space="preserve"> (gross)</t>
    </r>
  </si>
  <si>
    <t>School fees</t>
  </si>
  <si>
    <t>Contact costs</t>
  </si>
  <si>
    <t>Illness or disability</t>
  </si>
  <si>
    <t>Debt interest</t>
  </si>
  <si>
    <t>Mortgage interest</t>
  </si>
  <si>
    <t>going down</t>
  </si>
  <si>
    <t>going up</t>
  </si>
  <si>
    <t>Other income</t>
  </si>
  <si>
    <t>Diversion</t>
  </si>
  <si>
    <t>salary, wages, fees, bonus, commission, tips, overtime</t>
  </si>
  <si>
    <t>statutory sick pay</t>
  </si>
  <si>
    <t>Pensions (not state or where paid because of work related illness or disability</t>
  </si>
  <si>
    <t>Incapacity benefit, contributory employment and support allowance, jsa, income support</t>
  </si>
  <si>
    <t>remainder is</t>
  </si>
  <si>
    <t xml:space="preserve">charged at </t>
  </si>
  <si>
    <t>If income between 100 and £200 then first £100 pays £7</t>
  </si>
  <si>
    <t>brt</t>
  </si>
  <si>
    <t>hrt</t>
  </si>
  <si>
    <t>apply above % to these figures to give liability</t>
  </si>
  <si>
    <t>sum c/f</t>
  </si>
  <si>
    <t>otherwise:</t>
  </si>
  <si>
    <t xml:space="preserve">If income under £200 then fixed/ reduced rate applies (see hidden cells for workings), </t>
  </si>
  <si>
    <r>
      <t xml:space="preserve">5  </t>
    </r>
    <r>
      <rPr>
        <b/>
        <u/>
        <sz val="12"/>
        <rFont val="Arial"/>
        <family val="2"/>
      </rPr>
      <t>S</t>
    </r>
    <r>
      <rPr>
        <sz val="10"/>
        <rFont val="Arial"/>
        <family val="2"/>
      </rPr>
      <t>...   allowance for overnight</t>
    </r>
    <r>
      <rPr>
        <b/>
        <i/>
        <u/>
        <sz val="10"/>
        <rFont val="Arial"/>
        <family val="2"/>
      </rPr>
      <t xml:space="preserve"> Stays</t>
    </r>
    <r>
      <rPr>
        <sz val="8"/>
        <rFont val="Arial"/>
        <family val="2"/>
      </rPr>
      <t>(or see rows below)</t>
    </r>
  </si>
  <si>
    <t>if one overnight</t>
  </si>
  <si>
    <t>if two overnights</t>
  </si>
  <si>
    <t xml:space="preserve">if 3 overnights </t>
  </si>
  <si>
    <t>total deductions</t>
  </si>
  <si>
    <t>Level of av weekly overnight stays:</t>
  </si>
  <si>
    <t>if   174&lt;x&gt; nights p/a then</t>
  </si>
  <si>
    <t>Uncapped</t>
  </si>
  <si>
    <t>THE ONE PAGE SUMMARY OF SUMMARIES</t>
  </si>
  <si>
    <t>CS1</t>
  </si>
  <si>
    <t>1993-2003</t>
  </si>
  <si>
    <t>NRP = non resident parent = paying parent</t>
  </si>
  <si>
    <t>CS2</t>
  </si>
  <si>
    <t>2003- 2012 +</t>
  </si>
  <si>
    <t>PWC = Parent with care = receiving parent</t>
  </si>
  <si>
    <t>CS3</t>
  </si>
  <si>
    <t>2012 -&gt;</t>
  </si>
  <si>
    <t>G  eography</t>
  </si>
  <si>
    <t xml:space="preserve">A  ge </t>
  </si>
  <si>
    <t>P  arentage</t>
  </si>
  <si>
    <t>S  eparation</t>
  </si>
  <si>
    <t>O  rder:</t>
  </si>
  <si>
    <t>NB Reg 50</t>
  </si>
  <si>
    <t>Up:</t>
  </si>
  <si>
    <t>I  nvestment income</t>
  </si>
  <si>
    <t>D  iversion</t>
  </si>
  <si>
    <t>Down:</t>
  </si>
  <si>
    <t>C  ontact costs</t>
  </si>
  <si>
    <t>I llness  of NRP child</t>
  </si>
  <si>
    <t>D   ebt</t>
  </si>
  <si>
    <t>M  ortgage</t>
  </si>
  <si>
    <t>Collection service</t>
  </si>
  <si>
    <t>by agreement</t>
  </si>
  <si>
    <t>s8(5)</t>
  </si>
  <si>
    <t>deducts 4% from PWC</t>
  </si>
  <si>
    <t>to top up a maximum assessment</t>
  </si>
  <si>
    <t>s8(6)</t>
  </si>
  <si>
    <t>charges 20% to NRP</t>
  </si>
  <si>
    <t>for educational costs</t>
  </si>
  <si>
    <t>s8(7)</t>
  </si>
  <si>
    <t>collection service imposed where NRP deemed "unlikely to pay"</t>
  </si>
  <si>
    <t>for costs of disability</t>
  </si>
  <si>
    <t>s8(8)</t>
  </si>
  <si>
    <t xml:space="preserve">reverse orders </t>
  </si>
  <si>
    <t>s8(10)</t>
  </si>
  <si>
    <t>"pay in full, on time, all the time" (and ask for a refund)</t>
  </si>
  <si>
    <t>Protection/ promotion for CMS:</t>
  </si>
  <si>
    <t>Sanity for clients</t>
  </si>
  <si>
    <t>s4(10)(aa)</t>
  </si>
  <si>
    <t>Agreements to exclude it are void</t>
  </si>
  <si>
    <t>s9(4)</t>
  </si>
  <si>
    <t>1) the global or "Segal" order</t>
  </si>
  <si>
    <t>The court may not make up for the inadequacy of the CSA/ CMS</t>
  </si>
  <si>
    <t>2) the Christmas order</t>
  </si>
  <si>
    <t>The court should apply its formula in court jurisdiction cases</t>
  </si>
  <si>
    <t>GW v RW</t>
  </si>
  <si>
    <t>Help</t>
  </si>
  <si>
    <t>eg www.nacsa.org.uk</t>
  </si>
  <si>
    <t>Resolution website</t>
  </si>
  <si>
    <t>Various counsel</t>
  </si>
  <si>
    <t>Resolution committee</t>
  </si>
  <si>
    <t>me !   jp@flip.co.uk</t>
  </si>
  <si>
    <t>2) P  aying parent</t>
  </si>
  <si>
    <t>3) I  ncome</t>
  </si>
  <si>
    <t xml:space="preserve">6) D  ue children </t>
  </si>
  <si>
    <r>
      <t xml:space="preserve">7) S  tays </t>
    </r>
    <r>
      <rPr>
        <sz val="9"/>
        <color theme="1"/>
        <rFont val="Calibri"/>
        <family val="2"/>
        <scheme val="minor"/>
      </rPr>
      <t>(discount for)</t>
    </r>
  </si>
  <si>
    <t>8) V  ariations:</t>
  </si>
  <si>
    <t>usually last tax return</t>
  </si>
  <si>
    <t>end aug after As  and extensions</t>
  </si>
  <si>
    <t xml:space="preserve">5) O  ther children </t>
  </si>
  <si>
    <t xml:space="preserve">1/7ths for:52 - 104 - 156 - 175 </t>
  </si>
  <si>
    <r>
      <t>Assets</t>
    </r>
    <r>
      <rPr>
        <sz val="8"/>
        <rFont val="Arial"/>
        <family val="2"/>
      </rPr>
      <t xml:space="preserve">   (31,250)</t>
    </r>
  </si>
  <si>
    <t>S chool</t>
  </si>
  <si>
    <t>Clients' only chance to protect against this may be at the first financial order. Consider:</t>
  </si>
  <si>
    <t xml:space="preserve">Protect yourself … consider </t>
  </si>
  <si>
    <t xml:space="preserve">Child Support Act: http://www.legislation.gov.uk/ukpga/1991/48/contents/enacted </t>
  </si>
  <si>
    <t>2018 Amendment regs:    https://www.legislation.gov.uk/ukdsi/2018/9780111172667/contents</t>
  </si>
  <si>
    <t>Maintnce Calculatn regs 2012:    http://www.legislation.gov.uk/uksi/2012/2677/contents/made</t>
  </si>
  <si>
    <t>Not lifestyle inconsistent</t>
  </si>
  <si>
    <t>Only imposed if   1)applied for and   2)where just &amp; equitable</t>
  </si>
  <si>
    <t xml:space="preserve">Huge thanks to those who have told me improvements.                  Further welcomed:  jp@flip.co.uk </t>
  </si>
  <si>
    <t xml:space="preserve">deemed income from assets </t>
  </si>
  <si>
    <t>s fees p/a</t>
  </si>
  <si>
    <t>costs p/a</t>
  </si>
  <si>
    <t>unearned p/a</t>
  </si>
  <si>
    <t>additional:</t>
  </si>
  <si>
    <t>asset value</t>
  </si>
  <si>
    <t>variations? (unhide next rows)</t>
  </si>
  <si>
    <r>
      <t xml:space="preserve">2   </t>
    </r>
    <r>
      <rPr>
        <b/>
        <u/>
        <sz val="12"/>
        <rFont val="Arial"/>
        <family val="2"/>
      </rPr>
      <t>P</t>
    </r>
    <r>
      <rPr>
        <sz val="10"/>
        <rFont val="Arial"/>
        <family val="2"/>
      </rPr>
      <t xml:space="preserve">    ... payments to personal </t>
    </r>
    <r>
      <rPr>
        <b/>
        <i/>
        <u/>
        <sz val="10"/>
        <rFont val="Arial"/>
        <family val="2"/>
      </rPr>
      <t xml:space="preserve">pension         </t>
    </r>
    <r>
      <rPr>
        <sz val="8"/>
        <rFont val="Arial"/>
        <family val="2"/>
      </rPr>
      <t>(ie the total gross relievable contribution p/a)</t>
    </r>
  </si>
  <si>
    <t>the first £650k</t>
  </si>
  <si>
    <t>net c/f</t>
  </si>
  <si>
    <r>
      <rPr>
        <sz val="8"/>
        <color theme="1"/>
        <rFont val="Calibri"/>
        <family val="2"/>
        <scheme val="minor"/>
      </rPr>
      <t xml:space="preserve"> =S</t>
    </r>
    <r>
      <rPr>
        <sz val="7"/>
        <color theme="1"/>
        <rFont val="Calibri"/>
        <family val="2"/>
        <scheme val="minor"/>
      </rPr>
      <t xml:space="preserve"> hared care</t>
    </r>
  </si>
  <si>
    <t>THE CHILD MAINTENANCE SERVICE</t>
  </si>
  <si>
    <t>THE COURT APPLICATIONS</t>
  </si>
  <si>
    <t>Application for costs</t>
  </si>
  <si>
    <t>Application for fianancial provision</t>
  </si>
  <si>
    <t>Judge gives directions for producing evidence</t>
  </si>
  <si>
    <t xml:space="preserve">Financial issues </t>
  </si>
  <si>
    <t>TOLATA claims</t>
  </si>
  <si>
    <t>express (ie declaration)</t>
  </si>
  <si>
    <t xml:space="preserve">resulting </t>
  </si>
  <si>
    <t xml:space="preserve">constructive </t>
  </si>
  <si>
    <t>promissory estoppel</t>
  </si>
  <si>
    <t>CMS</t>
  </si>
  <si>
    <t>Jurisdiction issues</t>
  </si>
  <si>
    <t xml:space="preserve">Geography </t>
  </si>
  <si>
    <t>Age &amp; stage</t>
  </si>
  <si>
    <t xml:space="preserve">Parentage </t>
  </si>
  <si>
    <t xml:space="preserve">Separation </t>
  </si>
  <si>
    <t>existing orders</t>
  </si>
  <si>
    <t>who is PWC?</t>
  </si>
  <si>
    <t>equal care (regn 50)</t>
  </si>
  <si>
    <t xml:space="preserve">Income </t>
  </si>
  <si>
    <t>likely income tax return</t>
  </si>
  <si>
    <t>options to report evasion</t>
  </si>
  <si>
    <t xml:space="preserve"> 25% rise or fall                             (historic to current)</t>
  </si>
  <si>
    <t xml:space="preserve">pension </t>
  </si>
  <si>
    <t xml:space="preserve">overnight stays </t>
  </si>
  <si>
    <t xml:space="preserve">other children </t>
  </si>
  <si>
    <t>Variation (down)</t>
  </si>
  <si>
    <t>school fees</t>
  </si>
  <si>
    <t xml:space="preserve">contact costs </t>
  </si>
  <si>
    <t>disability of another ch</t>
  </si>
  <si>
    <t>mortgage</t>
  </si>
  <si>
    <t>Variation (up)</t>
  </si>
  <si>
    <t xml:space="preserve">Diversion </t>
  </si>
  <si>
    <t>the process</t>
  </si>
  <si>
    <t>application process</t>
  </si>
  <si>
    <t>direct pay -v- collection (&amp; FEES!)</t>
  </si>
  <si>
    <t>enforcement</t>
  </si>
  <si>
    <t xml:space="preserve">appeal </t>
  </si>
  <si>
    <t xml:space="preserve">Costs and chances </t>
  </si>
  <si>
    <t>Schedule 1 menu</t>
  </si>
  <si>
    <t>NO making up for cms stupidity!</t>
  </si>
  <si>
    <t xml:space="preserve">Housing </t>
  </si>
  <si>
    <t>proportionality / brutal remoteness</t>
  </si>
  <si>
    <t>returned at 18/ FTE</t>
  </si>
  <si>
    <t>one bite at cherry</t>
  </si>
  <si>
    <t>equipping</t>
  </si>
  <si>
    <t>other lumps</t>
  </si>
  <si>
    <t>car</t>
  </si>
  <si>
    <t>top up</t>
  </si>
  <si>
    <t>Guidance from Re TW&amp;TM</t>
  </si>
  <si>
    <t>regulation 50</t>
  </si>
  <si>
    <t>agreement</t>
  </si>
  <si>
    <t>(note vulnerability of these orders)</t>
  </si>
  <si>
    <t xml:space="preserve">Education </t>
  </si>
  <si>
    <t>legal costs for proceedings:</t>
  </si>
  <si>
    <t>cms</t>
  </si>
  <si>
    <t>children act</t>
  </si>
  <si>
    <t>sched 1</t>
  </si>
  <si>
    <t>.</t>
  </si>
  <si>
    <t>university years</t>
  </si>
  <si>
    <t>uni fees</t>
  </si>
  <si>
    <t xml:space="preserve">accommodation </t>
  </si>
  <si>
    <t xml:space="preserve">support </t>
  </si>
  <si>
    <t>"roofing allowance"</t>
  </si>
  <si>
    <t>Welfare benefits</t>
  </si>
  <si>
    <t>IPFDA (inheritance)</t>
  </si>
  <si>
    <t xml:space="preserve">Protection Insurances </t>
  </si>
  <si>
    <t xml:space="preserve">In fact don't come bleating to us for anything </t>
  </si>
  <si>
    <t>Dickson v Rennie</t>
  </si>
  <si>
    <t>3) use an undertaking to pay or contractual agreement (which are not discharged by s4(10)(aa).</t>
  </si>
  <si>
    <t>Phillips v Peace</t>
  </si>
  <si>
    <t>Adopt the % in top up cases too           (up to £650k)</t>
  </si>
  <si>
    <r>
      <rPr>
        <b/>
        <u/>
        <sz val="9"/>
        <color theme="1"/>
        <rFont val="Calibri"/>
        <family val="2"/>
        <scheme val="minor"/>
      </rPr>
      <t>The</t>
    </r>
    <r>
      <rPr>
        <b/>
        <u/>
        <sz val="11"/>
        <color theme="1"/>
        <rFont val="Calibri"/>
        <family val="2"/>
        <scheme val="minor"/>
      </rPr>
      <t xml:space="preserve"> 8 stages of the CS3 formula</t>
    </r>
  </si>
  <si>
    <t>1) J  urisdiction</t>
  </si>
  <si>
    <t>Who provides less care?</t>
  </si>
  <si>
    <t>worry re boarding school</t>
  </si>
  <si>
    <t>"escape" to current income if                    +/-25% OR no return for 6 yrs</t>
  </si>
  <si>
    <r>
      <t xml:space="preserve">4) P  ension </t>
    </r>
    <r>
      <rPr>
        <sz val="9"/>
        <color theme="1"/>
        <rFont val="Calibri"/>
        <family val="2"/>
        <scheme val="minor"/>
      </rPr>
      <t>contribns deducted</t>
    </r>
    <r>
      <rPr>
        <sz val="10"/>
        <rFont val="Arial"/>
        <family val="2"/>
      </rPr>
      <t>.</t>
    </r>
  </si>
  <si>
    <t>relievable only</t>
  </si>
  <si>
    <t>(Discount for ch in NRP's h'hld if ch ben)</t>
  </si>
  <si>
    <t>Where CMS jurisdiction, then PPs orders only (CS'91):</t>
  </si>
  <si>
    <t>Freedom to go to CMS after 1 yr.  The crt order is discharged 2 mnths later &amp; the CMS jurisdiction starts</t>
  </si>
  <si>
    <t>pre 2003  or          12+months old</t>
  </si>
  <si>
    <t>i) Shared care rules</t>
  </si>
  <si>
    <t>ii) Fees</t>
  </si>
  <si>
    <t>iii) efficacy of enforcement</t>
  </si>
  <si>
    <r>
      <t xml:space="preserve">iv) </t>
    </r>
    <r>
      <rPr>
        <sz val="9"/>
        <color theme="1"/>
        <rFont val="Calibri"/>
        <family val="2"/>
        <scheme val="minor"/>
      </rPr>
      <t>12mnth rule &amp; order transience</t>
    </r>
  </si>
  <si>
    <t>v) possibility of protection</t>
  </si>
  <si>
    <t>vi) End point of A levels</t>
  </si>
  <si>
    <t>vii) Get crt permission to disclose to cms</t>
  </si>
  <si>
    <t>UK-fams or            NRP 1.UKco 2.govt service</t>
  </si>
  <si>
    <t>TW&amp;TM; MvM; CBvCK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</si>
</sst>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4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</font>
    <font>
      <sz val="7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i/>
      <u/>
      <sz val="9"/>
      <name val="Arial"/>
      <family val="2"/>
    </font>
    <font>
      <i/>
      <u/>
      <sz val="9"/>
      <name val="Arial"/>
      <family val="2"/>
    </font>
    <font>
      <sz val="9"/>
      <color indexed="81"/>
      <name val="Tahoma"/>
      <family val="2"/>
    </font>
    <font>
      <i/>
      <u/>
      <sz val="6"/>
      <name val="Arial"/>
      <family val="2"/>
    </font>
    <font>
      <u/>
      <sz val="9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name val="Arial"/>
      <family val="2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name val="Arial"/>
      <family val="2"/>
    </font>
    <font>
      <b/>
      <u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0" fillId="2" borderId="0" xfId="1" applyNumberFormat="1" applyFont="1" applyFill="1" applyBorder="1"/>
    <xf numFmtId="1" fontId="5" fillId="0" borderId="0" xfId="0" applyNumberFormat="1" applyFont="1" applyBorder="1"/>
    <xf numFmtId="164" fontId="5" fillId="0" borderId="0" xfId="1" applyNumberFormat="1" applyFont="1" applyBorder="1"/>
    <xf numFmtId="0" fontId="8" fillId="0" borderId="0" xfId="0" applyFont="1"/>
    <xf numFmtId="164" fontId="5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4" xfId="0" applyFill="1" applyBorder="1"/>
    <xf numFmtId="0" fontId="8" fillId="0" borderId="0" xfId="0" applyFont="1" applyBorder="1"/>
    <xf numFmtId="164" fontId="1" fillId="3" borderId="9" xfId="1" applyNumberFormat="1" applyFont="1" applyFill="1" applyBorder="1"/>
    <xf numFmtId="164" fontId="1" fillId="3" borderId="10" xfId="1" applyNumberFormat="1" applyFont="1" applyFill="1" applyBorder="1"/>
    <xf numFmtId="164" fontId="1" fillId="3" borderId="11" xfId="1" applyNumberFormat="1" applyFont="1" applyFill="1" applyBorder="1"/>
    <xf numFmtId="0" fontId="8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wrapText="1"/>
    </xf>
    <xf numFmtId="164" fontId="0" fillId="0" borderId="0" xfId="1" applyNumberFormat="1" applyFont="1" applyFill="1" applyBorder="1"/>
    <xf numFmtId="0" fontId="1" fillId="0" borderId="0" xfId="0" applyFont="1" applyAlignment="1">
      <alignment horizontal="left"/>
    </xf>
    <xf numFmtId="1" fontId="0" fillId="0" borderId="0" xfId="0" applyNumberFormat="1"/>
    <xf numFmtId="3" fontId="1" fillId="2" borderId="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 applyBorder="1"/>
    <xf numFmtId="0" fontId="11" fillId="0" borderId="0" xfId="0" applyFont="1" applyAlignment="1">
      <alignment horizontal="center"/>
    </xf>
    <xf numFmtId="1" fontId="5" fillId="0" borderId="0" xfId="0" applyNumberFormat="1" applyFont="1"/>
    <xf numFmtId="1" fontId="5" fillId="0" borderId="4" xfId="0" applyNumberFormat="1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5" fillId="0" borderId="7" xfId="1" applyNumberFormat="1" applyFont="1" applyBorder="1"/>
    <xf numFmtId="164" fontId="5" fillId="0" borderId="8" xfId="1" applyNumberFormat="1" applyFont="1" applyBorder="1"/>
    <xf numFmtId="0" fontId="5" fillId="0" borderId="12" xfId="0" applyFont="1" applyBorder="1"/>
    <xf numFmtId="164" fontId="5" fillId="0" borderId="0" xfId="0" applyNumberFormat="1" applyFont="1" applyBorder="1"/>
    <xf numFmtId="2" fontId="16" fillId="0" borderId="0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64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ill="1"/>
    <xf numFmtId="1" fontId="16" fillId="0" borderId="0" xfId="0" applyNumberFormat="1" applyFont="1" applyFill="1"/>
    <xf numFmtId="1" fontId="22" fillId="0" borderId="0" xfId="0" applyNumberFormat="1" applyFont="1" applyAlignment="1">
      <alignment horizontal="right"/>
    </xf>
    <xf numFmtId="2" fontId="8" fillId="0" borderId="0" xfId="0" applyNumberFormat="1" applyFont="1"/>
    <xf numFmtId="0" fontId="12" fillId="0" borderId="0" xfId="0" applyFont="1" applyAlignment="1">
      <alignment horizontal="right"/>
    </xf>
    <xf numFmtId="0" fontId="16" fillId="0" borderId="0" xfId="0" applyFont="1"/>
    <xf numFmtId="1" fontId="8" fillId="0" borderId="12" xfId="0" applyNumberFormat="1" applyFont="1" applyBorder="1"/>
    <xf numFmtId="2" fontId="5" fillId="0" borderId="0" xfId="0" applyNumberFormat="1" applyFont="1"/>
    <xf numFmtId="0" fontId="11" fillId="0" borderId="0" xfId="0" applyFont="1" applyAlignment="1">
      <alignment horizontal="left"/>
    </xf>
    <xf numFmtId="165" fontId="0" fillId="0" borderId="12" xfId="1" applyNumberFormat="1" applyFont="1" applyFill="1" applyBorder="1"/>
    <xf numFmtId="164" fontId="0" fillId="0" borderId="12" xfId="1" applyNumberFormat="1" applyFont="1" applyFill="1" applyBorder="1"/>
    <xf numFmtId="164" fontId="8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5" fillId="0" borderId="2" xfId="0" applyFont="1" applyBorder="1"/>
    <xf numFmtId="164" fontId="8" fillId="0" borderId="2" xfId="1" applyNumberFormat="1" applyFont="1" applyBorder="1"/>
    <xf numFmtId="164" fontId="8" fillId="0" borderId="3" xfId="1" applyNumberFormat="1" applyFont="1" applyBorder="1"/>
    <xf numFmtId="0" fontId="8" fillId="0" borderId="4" xfId="0" applyFont="1" applyBorder="1" applyAlignment="1">
      <alignment horizontal="right"/>
    </xf>
    <xf numFmtId="0" fontId="15" fillId="0" borderId="0" xfId="0" applyFont="1" applyBorder="1"/>
    <xf numFmtId="164" fontId="8" fillId="0" borderId="0" xfId="1" applyNumberFormat="1" applyFont="1" applyBorder="1"/>
    <xf numFmtId="164" fontId="8" fillId="0" borderId="5" xfId="1" applyNumberFormat="1" applyFont="1" applyBorder="1"/>
    <xf numFmtId="0" fontId="8" fillId="0" borderId="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164" fontId="8" fillId="0" borderId="0" xfId="1" applyNumberFormat="1" applyFont="1" applyFill="1" applyBorder="1"/>
    <xf numFmtId="0" fontId="23" fillId="0" borderId="0" xfId="0" applyFont="1" applyAlignment="1">
      <alignment horizontal="right"/>
    </xf>
    <xf numFmtId="0" fontId="0" fillId="0" borderId="4" xfId="0" applyBorder="1"/>
    <xf numFmtId="164" fontId="0" fillId="0" borderId="5" xfId="0" applyNumberFormat="1" applyBorder="1"/>
    <xf numFmtId="1" fontId="5" fillId="0" borderId="5" xfId="0" applyNumberFormat="1" applyFont="1" applyBorder="1"/>
    <xf numFmtId="164" fontId="10" fillId="3" borderId="9" xfId="1" applyNumberFormat="1" applyFont="1" applyFill="1" applyBorder="1"/>
    <xf numFmtId="164" fontId="10" fillId="3" borderId="10" xfId="1" applyNumberFormat="1" applyFont="1" applyFill="1" applyBorder="1"/>
    <xf numFmtId="164" fontId="10" fillId="3" borderId="11" xfId="1" applyNumberFormat="1" applyFont="1" applyFill="1" applyBorder="1"/>
    <xf numFmtId="164" fontId="8" fillId="0" borderId="8" xfId="1" applyNumberFormat="1" applyFont="1" applyFill="1" applyBorder="1"/>
    <xf numFmtId="164" fontId="8" fillId="0" borderId="7" xfId="1" applyNumberFormat="1" applyFont="1" applyFill="1" applyBorder="1"/>
    <xf numFmtId="164" fontId="5" fillId="0" borderId="4" xfId="1" applyNumberFormat="1" applyFont="1" applyBorder="1"/>
    <xf numFmtId="0" fontId="5" fillId="0" borderId="4" xfId="0" applyFont="1" applyBorder="1"/>
    <xf numFmtId="164" fontId="8" fillId="0" borderId="6" xfId="1" applyNumberFormat="1" applyFont="1" applyFill="1" applyBorder="1"/>
    <xf numFmtId="0" fontId="2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5" xfId="0" applyFill="1" applyBorder="1"/>
    <xf numFmtId="0" fontId="26" fillId="4" borderId="13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25" fillId="5" borderId="12" xfId="0" applyFont="1" applyFill="1" applyBorder="1"/>
    <xf numFmtId="0" fontId="0" fillId="5" borderId="12" xfId="0" applyFill="1" applyBorder="1" applyAlignment="1">
      <alignment horizontal="center"/>
    </xf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1" fillId="7" borderId="12" xfId="0" applyFont="1" applyFill="1" applyBorder="1" applyAlignment="1">
      <alignment vertical="top"/>
    </xf>
    <xf numFmtId="0" fontId="26" fillId="7" borderId="12" xfId="0" applyFont="1" applyFill="1" applyBorder="1" applyAlignment="1">
      <alignment wrapText="1"/>
    </xf>
    <xf numFmtId="0" fontId="1" fillId="6" borderId="14" xfId="0" applyFont="1" applyFill="1" applyBorder="1"/>
    <xf numFmtId="0" fontId="5" fillId="7" borderId="0" xfId="0" applyFont="1" applyFill="1" applyAlignment="1">
      <alignment wrapText="1"/>
    </xf>
    <xf numFmtId="0" fontId="8" fillId="7" borderId="0" xfId="0" applyFont="1" applyFill="1"/>
    <xf numFmtId="0" fontId="0" fillId="7" borderId="0" xfId="0" applyFill="1"/>
    <xf numFmtId="0" fontId="0" fillId="0" borderId="2" xfId="0" applyFill="1" applyBorder="1"/>
    <xf numFmtId="0" fontId="0" fillId="0" borderId="3" xfId="0" applyFill="1" applyBorder="1"/>
    <xf numFmtId="0" fontId="24" fillId="8" borderId="1" xfId="0" applyFont="1" applyFill="1" applyBorder="1"/>
    <xf numFmtId="0" fontId="0" fillId="8" borderId="2" xfId="0" applyFill="1" applyBorder="1"/>
    <xf numFmtId="0" fontId="27" fillId="8" borderId="4" xfId="0" applyFont="1" applyFill="1" applyBorder="1"/>
    <xf numFmtId="0" fontId="0" fillId="8" borderId="0" xfId="0" applyFill="1" applyBorder="1"/>
    <xf numFmtId="0" fontId="0" fillId="8" borderId="5" xfId="0" applyFill="1" applyBorder="1"/>
    <xf numFmtId="0" fontId="31" fillId="8" borderId="6" xfId="0" applyFont="1" applyFill="1" applyBorder="1"/>
    <xf numFmtId="0" fontId="10" fillId="8" borderId="7" xfId="0" applyFont="1" applyFill="1" applyBorder="1"/>
    <xf numFmtId="0" fontId="26" fillId="8" borderId="4" xfId="0" applyFont="1" applyFill="1" applyBorder="1"/>
    <xf numFmtId="0" fontId="10" fillId="8" borderId="8" xfId="0" applyFont="1" applyFill="1" applyBorder="1"/>
    <xf numFmtId="0" fontId="24" fillId="9" borderId="1" xfId="0" applyFont="1" applyFill="1" applyBorder="1"/>
    <xf numFmtId="0" fontId="25" fillId="9" borderId="12" xfId="0" applyFont="1" applyFill="1" applyBorder="1" applyAlignment="1">
      <alignment horizontal="right" vertical="top" wrapText="1"/>
    </xf>
    <xf numFmtId="0" fontId="25" fillId="9" borderId="12" xfId="0" applyFont="1" applyFill="1" applyBorder="1" applyAlignment="1">
      <alignment horizontal="right" vertical="center" wrapText="1"/>
    </xf>
    <xf numFmtId="0" fontId="25" fillId="9" borderId="12" xfId="0" applyFont="1" applyFill="1" applyBorder="1" applyAlignment="1">
      <alignment horizontal="right" wrapText="1"/>
    </xf>
    <xf numFmtId="0" fontId="29" fillId="10" borderId="13" xfId="0" applyFont="1" applyFill="1" applyBorder="1"/>
    <xf numFmtId="0" fontId="0" fillId="11" borderId="2" xfId="0" applyFill="1" applyBorder="1"/>
    <xf numFmtId="0" fontId="8" fillId="11" borderId="1" xfId="0" applyFont="1" applyFill="1" applyBorder="1"/>
    <xf numFmtId="0" fontId="0" fillId="11" borderId="3" xfId="0" applyFill="1" applyBorder="1"/>
    <xf numFmtId="0" fontId="8" fillId="11" borderId="4" xfId="0" applyFont="1" applyFill="1" applyBorder="1"/>
    <xf numFmtId="0" fontId="0" fillId="11" borderId="0" xfId="0" applyFill="1" applyBorder="1"/>
    <xf numFmtId="0" fontId="0" fillId="11" borderId="5" xfId="0" applyFill="1" applyBorder="1"/>
    <xf numFmtId="0" fontId="8" fillId="11" borderId="6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32" fillId="12" borderId="1" xfId="0" applyFont="1" applyFill="1" applyBorder="1"/>
    <xf numFmtId="0" fontId="33" fillId="12" borderId="2" xfId="0" applyFont="1" applyFill="1" applyBorder="1"/>
    <xf numFmtId="0" fontId="35" fillId="4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0" fontId="27" fillId="4" borderId="13" xfId="0" applyFont="1" applyFill="1" applyBorder="1" applyAlignment="1">
      <alignment vertical="top"/>
    </xf>
    <xf numFmtId="0" fontId="24" fillId="0" borderId="0" xfId="0" applyFont="1" applyAlignment="1">
      <alignment horizontal="center"/>
    </xf>
    <xf numFmtId="164" fontId="0" fillId="0" borderId="16" xfId="1" applyNumberFormat="1" applyFont="1" applyFill="1" applyBorder="1"/>
    <xf numFmtId="3" fontId="8" fillId="0" borderId="0" xfId="0" applyNumberFormat="1" applyFont="1" applyFill="1" applyBorder="1"/>
    <xf numFmtId="3" fontId="0" fillId="0" borderId="16" xfId="0" applyNumberFormat="1" applyBorder="1"/>
    <xf numFmtId="3" fontId="0" fillId="0" borderId="0" xfId="0" applyNumberFormat="1" applyBorder="1"/>
    <xf numFmtId="164" fontId="0" fillId="0" borderId="0" xfId="0" applyNumberFormat="1" applyBorder="1"/>
    <xf numFmtId="1" fontId="10" fillId="0" borderId="16" xfId="0" applyNumberFormat="1" applyFont="1" applyBorder="1"/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8" fillId="14" borderId="0" xfId="0" applyFont="1" applyFill="1"/>
    <xf numFmtId="0" fontId="0" fillId="0" borderId="0" xfId="0" applyAlignment="1">
      <alignment horizontal="right"/>
    </xf>
    <xf numFmtId="0" fontId="38" fillId="15" borderId="0" xfId="0" applyFont="1" applyFill="1"/>
    <xf numFmtId="0" fontId="24" fillId="0" borderId="0" xfId="0" applyFont="1"/>
    <xf numFmtId="0" fontId="0" fillId="0" borderId="0" xfId="0" applyAlignment="1">
      <alignment horizontal="right" wrapText="1"/>
    </xf>
    <xf numFmtId="0" fontId="24" fillId="0" borderId="0" xfId="0" applyFont="1" applyAlignment="1">
      <alignment horizontal="left"/>
    </xf>
    <xf numFmtId="0" fontId="38" fillId="16" borderId="0" xfId="0" applyFont="1" applyFill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0" fontId="29" fillId="16" borderId="12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right" vertical="top"/>
    </xf>
    <xf numFmtId="0" fontId="1" fillId="7" borderId="14" xfId="0" applyFont="1" applyFill="1" applyBorder="1" applyAlignment="1">
      <alignment horizontal="left" vertical="center"/>
    </xf>
    <xf numFmtId="0" fontId="36" fillId="4" borderId="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 vertical="center"/>
    </xf>
    <xf numFmtId="0" fontId="26" fillId="4" borderId="15" xfId="0" applyFont="1" applyFill="1" applyBorder="1" applyAlignment="1">
      <alignment horizontal="right" wrapText="1"/>
    </xf>
    <xf numFmtId="0" fontId="28" fillId="17" borderId="1" xfId="0" applyFont="1" applyFill="1" applyBorder="1"/>
    <xf numFmtId="0" fontId="0" fillId="17" borderId="3" xfId="0" applyFill="1" applyBorder="1"/>
    <xf numFmtId="0" fontId="25" fillId="17" borderId="4" xfId="0" applyFont="1" applyFill="1" applyBorder="1" applyAlignment="1">
      <alignment horizontal="right" wrapText="1"/>
    </xf>
    <xf numFmtId="0" fontId="0" fillId="17" borderId="5" xfId="0" applyFill="1" applyBorder="1" applyAlignment="1">
      <alignment horizontal="right"/>
    </xf>
    <xf numFmtId="0" fontId="25" fillId="17" borderId="6" xfId="0" applyFont="1" applyFill="1" applyBorder="1" applyAlignment="1">
      <alignment horizontal="right" wrapText="1"/>
    </xf>
    <xf numFmtId="0" fontId="0" fillId="17" borderId="8" xfId="0" applyFill="1" applyBorder="1" applyAlignment="1">
      <alignment horizontal="right"/>
    </xf>
    <xf numFmtId="0" fontId="25" fillId="6" borderId="12" xfId="0" applyFont="1" applyFill="1" applyBorder="1" applyAlignment="1">
      <alignment horizontal="center" vertical="center"/>
    </xf>
    <xf numFmtId="0" fontId="24" fillId="18" borderId="0" xfId="0" applyFont="1" applyFill="1" applyBorder="1"/>
    <xf numFmtId="0" fontId="0" fillId="18" borderId="0" xfId="0" applyFill="1" applyBorder="1"/>
    <xf numFmtId="0" fontId="8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0" fillId="7" borderId="12" xfId="0" applyFont="1" applyFill="1" applyBorder="1"/>
    <xf numFmtId="0" fontId="5" fillId="7" borderId="12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vertical="center"/>
    </xf>
    <xf numFmtId="0" fontId="41" fillId="6" borderId="14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left" vertical="center"/>
    </xf>
    <xf numFmtId="0" fontId="1" fillId="6" borderId="12" xfId="0" applyFont="1" applyFill="1" applyBorder="1"/>
    <xf numFmtId="0" fontId="30" fillId="6" borderId="12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left" wrapText="1"/>
    </xf>
    <xf numFmtId="0" fontId="27" fillId="10" borderId="12" xfId="0" applyFont="1" applyFill="1" applyBorder="1" applyAlignment="1">
      <alignment horizontal="left"/>
    </xf>
    <xf numFmtId="0" fontId="27" fillId="10" borderId="0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center" vertical="center" wrapText="1"/>
    </xf>
    <xf numFmtId="0" fontId="25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5" fillId="18" borderId="4" xfId="0" applyFont="1" applyFill="1" applyBorder="1" applyAlignment="1">
      <alignment horizontal="left" vertical="top" wrapText="1"/>
    </xf>
    <xf numFmtId="0" fontId="25" fillId="18" borderId="0" xfId="0" applyFont="1" applyFill="1" applyBorder="1" applyAlignment="1">
      <alignment horizontal="left" vertical="top" wrapText="1"/>
    </xf>
    <xf numFmtId="0" fontId="25" fillId="18" borderId="5" xfId="0" applyFont="1" applyFill="1" applyBorder="1" applyAlignment="1">
      <alignment horizontal="left" vertical="top" wrapText="1"/>
    </xf>
    <xf numFmtId="0" fontId="34" fillId="12" borderId="12" xfId="0" applyFont="1" applyFill="1" applyBorder="1" applyAlignment="1">
      <alignment horizontal="left"/>
    </xf>
    <xf numFmtId="0" fontId="25" fillId="18" borderId="4" xfId="0" applyFont="1" applyFill="1" applyBorder="1" applyAlignment="1">
      <alignment horizontal="left" vertical="top"/>
    </xf>
    <xf numFmtId="0" fontId="25" fillId="18" borderId="0" xfId="0" applyFont="1" applyFill="1" applyBorder="1" applyAlignment="1">
      <alignment horizontal="left" vertical="top"/>
    </xf>
    <xf numFmtId="0" fontId="25" fillId="18" borderId="5" xfId="0" applyFont="1" applyFill="1" applyBorder="1" applyAlignment="1">
      <alignment horizontal="left" vertical="top"/>
    </xf>
    <xf numFmtId="0" fontId="25" fillId="18" borderId="6" xfId="0" applyFont="1" applyFill="1" applyBorder="1" applyAlignment="1">
      <alignment horizontal="left" vertical="top" wrapText="1"/>
    </xf>
    <xf numFmtId="0" fontId="25" fillId="18" borderId="7" xfId="0" applyFont="1" applyFill="1" applyBorder="1" applyAlignment="1">
      <alignment horizontal="left" vertical="top" wrapText="1"/>
    </xf>
    <xf numFmtId="0" fontId="25" fillId="18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5" fillId="5" borderId="12" xfId="0" applyFont="1" applyFill="1" applyBorder="1" applyAlignment="1">
      <alignment horizontal="left"/>
    </xf>
    <xf numFmtId="0" fontId="30" fillId="7" borderId="10" xfId="0" applyFont="1" applyFill="1" applyBorder="1" applyAlignment="1">
      <alignment horizontal="left" wrapText="1"/>
    </xf>
    <xf numFmtId="0" fontId="30" fillId="7" borderId="11" xfId="0" applyFont="1" applyFill="1" applyBorder="1" applyAlignment="1">
      <alignment horizontal="left" wrapText="1"/>
    </xf>
    <xf numFmtId="0" fontId="25" fillId="18" borderId="1" xfId="0" applyFont="1" applyFill="1" applyBorder="1" applyAlignment="1">
      <alignment horizontal="left" vertical="center" wrapText="1"/>
    </xf>
    <xf numFmtId="0" fontId="25" fillId="18" borderId="2" xfId="0" applyFont="1" applyFill="1" applyBorder="1" applyAlignment="1">
      <alignment horizontal="left" vertical="center" wrapText="1"/>
    </xf>
    <xf numFmtId="0" fontId="25" fillId="18" borderId="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0" fillId="1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CC"/>
      <color rgb="FFFFCC66"/>
      <color rgb="FFCCFFFF"/>
      <color rgb="FF00FF00"/>
      <color rgb="FF99FF66"/>
      <color rgb="FF99FF99"/>
      <color rgb="FFFFFF66"/>
      <color rgb="FFFF9999"/>
      <color rgb="FFFF505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899584</xdr:colOff>
      <xdr:row>7</xdr:row>
      <xdr:rowOff>95251</xdr:rowOff>
    </xdr:from>
    <xdr:to>
      <xdr:col>7</xdr:col>
      <xdr:colOff>52917</xdr:colOff>
      <xdr:row>9</xdr:row>
      <xdr:rowOff>31750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293DCC0-7286-4531-AD33-8259DC096917}"/>
            </a:ext>
          </a:extLst>
        </xdr:cNvPr>
        <xdr:cNvCxnSpPr/>
      </xdr:nvCxnSpPr>
      <xdr:spPr bwMode="auto">
        <a:xfrm flipV="1">
          <a:off x="4370917" y="1090084"/>
          <a:ext cx="1629833" cy="370416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85726</xdr:rowOff>
    </xdr:from>
    <xdr:to>
      <xdr:col>3</xdr:col>
      <xdr:colOff>561975</xdr:colOff>
      <xdr:row>12</xdr:row>
      <xdr:rowOff>104776</xdr:rowOff>
    </xdr:to>
    <xdr:sp macro="" textlink="">
      <xdr:nvSpPr>
        <xdr:cNvPr id="2" name="Down Arrow Callout 1">
          <a:extLst>
            <a:ext uri="{FF2B5EF4-FFF2-40B4-BE49-F238E27FC236}">
              <a16:creationId xmlns:a16="http://schemas.microsoft.com/office/drawing/2014/main" id="{E916C15C-BDC6-45C3-A69E-49CD4BC5216A}"/>
            </a:ext>
          </a:extLst>
        </xdr:cNvPr>
        <xdr:cNvSpPr/>
      </xdr:nvSpPr>
      <xdr:spPr>
        <a:xfrm>
          <a:off x="638175" y="1933576"/>
          <a:ext cx="1752600" cy="971550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Contact CM Options</a:t>
          </a:r>
          <a:r>
            <a:rPr lang="en-GB" sz="1100" baseline="0"/>
            <a:t> in effect for permission to make CMS application</a:t>
          </a:r>
          <a:endParaRPr lang="en-GB" sz="1100"/>
        </a:p>
      </xdr:txBody>
    </xdr:sp>
    <xdr:clientData/>
  </xdr:twoCellAnchor>
  <xdr:twoCellAnchor>
    <xdr:from>
      <xdr:col>1</xdr:col>
      <xdr:colOff>0</xdr:colOff>
      <xdr:row>12</xdr:row>
      <xdr:rowOff>142875</xdr:rowOff>
    </xdr:from>
    <xdr:to>
      <xdr:col>3</xdr:col>
      <xdr:colOff>533400</xdr:colOff>
      <xdr:row>15</xdr:row>
      <xdr:rowOff>152400</xdr:rowOff>
    </xdr:to>
    <xdr:sp macro="" textlink="">
      <xdr:nvSpPr>
        <xdr:cNvPr id="3" name="Down Arrow Callout 2">
          <a:extLst>
            <a:ext uri="{FF2B5EF4-FFF2-40B4-BE49-F238E27FC236}">
              <a16:creationId xmlns:a16="http://schemas.microsoft.com/office/drawing/2014/main" id="{56EF1C4F-4397-4F43-AC1F-36B86DC472D0}"/>
            </a:ext>
          </a:extLst>
        </xdr:cNvPr>
        <xdr:cNvSpPr/>
      </xdr:nvSpPr>
      <xdr:spPr>
        <a:xfrm>
          <a:off x="609600" y="2943225"/>
          <a:ext cx="1752600" cy="581025"/>
        </a:xfrm>
        <a:prstGeom prst="downArrowCallout">
          <a:avLst>
            <a:gd name="adj1" fmla="val 3495"/>
            <a:gd name="adj2" fmla="val 6720"/>
            <a:gd name="adj3" fmla="val 25000"/>
            <a:gd name="adj4" fmla="val 623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Application made to CMS</a:t>
          </a:r>
        </a:p>
        <a:p>
          <a:pPr algn="l"/>
          <a:endParaRPr lang="en-GB" sz="1100"/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533400</xdr:colOff>
      <xdr:row>20</xdr:row>
      <xdr:rowOff>171450</xdr:rowOff>
    </xdr:to>
    <xdr:sp macro="" textlink="">
      <xdr:nvSpPr>
        <xdr:cNvPr id="4" name="Down Arrow Callout 3">
          <a:extLst>
            <a:ext uri="{FF2B5EF4-FFF2-40B4-BE49-F238E27FC236}">
              <a16:creationId xmlns:a16="http://schemas.microsoft.com/office/drawing/2014/main" id="{E165CB61-DD73-4FD4-AB1D-A747784E87A4}"/>
            </a:ext>
          </a:extLst>
        </xdr:cNvPr>
        <xdr:cNvSpPr/>
      </xdr:nvSpPr>
      <xdr:spPr>
        <a:xfrm>
          <a:off x="609600" y="3562350"/>
          <a:ext cx="1752600" cy="933450"/>
        </a:xfrm>
        <a:prstGeom prst="downArrowCallout">
          <a:avLst>
            <a:gd name="adj1" fmla="val 0"/>
            <a:gd name="adj2" fmla="val 6720"/>
            <a:gd name="adj3" fmla="val 25000"/>
            <a:gd name="adj4" fmla="val 6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50"/>
            <a:t>CMS contacts</a:t>
          </a:r>
          <a:r>
            <a:rPr lang="en-GB" sz="1050" baseline="0"/>
            <a:t> NRP; and then</a:t>
          </a:r>
        </a:p>
        <a:p>
          <a:pPr algn="l"/>
          <a:r>
            <a:rPr lang="en-GB" sz="1050"/>
            <a:t>Contacts tax authorities for NRP's last</a:t>
          </a:r>
          <a:r>
            <a:rPr lang="en-GB" sz="1050" baseline="0"/>
            <a:t> taxed income.</a:t>
          </a:r>
          <a:endParaRPr lang="en-GB" sz="1050"/>
        </a:p>
      </xdr:txBody>
    </xdr:sp>
    <xdr:clientData/>
  </xdr:twoCellAnchor>
  <xdr:twoCellAnchor>
    <xdr:from>
      <xdr:col>1</xdr:col>
      <xdr:colOff>0</xdr:colOff>
      <xdr:row>20</xdr:row>
      <xdr:rowOff>158750</xdr:rowOff>
    </xdr:from>
    <xdr:to>
      <xdr:col>3</xdr:col>
      <xdr:colOff>533400</xdr:colOff>
      <xdr:row>27</xdr:row>
      <xdr:rowOff>76200</xdr:rowOff>
    </xdr:to>
    <xdr:sp macro="" textlink="">
      <xdr:nvSpPr>
        <xdr:cNvPr id="5" name="Down Arrow Callout 4">
          <a:extLst>
            <a:ext uri="{FF2B5EF4-FFF2-40B4-BE49-F238E27FC236}">
              <a16:creationId xmlns:a16="http://schemas.microsoft.com/office/drawing/2014/main" id="{B2127EDE-CC1E-42E8-A249-D5FD9FCE1CF9}"/>
            </a:ext>
          </a:extLst>
        </xdr:cNvPr>
        <xdr:cNvSpPr/>
      </xdr:nvSpPr>
      <xdr:spPr>
        <a:xfrm>
          <a:off x="609600" y="4483100"/>
          <a:ext cx="1752600" cy="1250950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CMS notifies</a:t>
          </a:r>
          <a:r>
            <a:rPr lang="en-GB" sz="1100" baseline="0"/>
            <a:t> both parties as to likely level of award and encourages the making of private "FBA!"</a:t>
          </a:r>
        </a:p>
        <a:p>
          <a:pPr algn="l"/>
          <a:endParaRPr lang="en-GB" sz="1100"/>
        </a:p>
      </xdr:txBody>
    </xdr:sp>
    <xdr:clientData/>
  </xdr:twoCellAnchor>
  <xdr:twoCellAnchor>
    <xdr:from>
      <xdr:col>0</xdr:col>
      <xdr:colOff>600075</xdr:colOff>
      <xdr:row>27</xdr:row>
      <xdr:rowOff>0</xdr:rowOff>
    </xdr:from>
    <xdr:to>
      <xdr:col>3</xdr:col>
      <xdr:colOff>508000</xdr:colOff>
      <xdr:row>33</xdr:row>
      <xdr:rowOff>38100</xdr:rowOff>
    </xdr:to>
    <xdr:sp macro="" textlink="">
      <xdr:nvSpPr>
        <xdr:cNvPr id="6" name="Down Arrow Callout 5">
          <a:extLst>
            <a:ext uri="{FF2B5EF4-FFF2-40B4-BE49-F238E27FC236}">
              <a16:creationId xmlns:a16="http://schemas.microsoft.com/office/drawing/2014/main" id="{8570846B-510F-45A0-8534-7936C1ADA7DD}"/>
            </a:ext>
          </a:extLst>
        </xdr:cNvPr>
        <xdr:cNvSpPr/>
      </xdr:nvSpPr>
      <xdr:spPr>
        <a:xfrm>
          <a:off x="600075" y="5657850"/>
          <a:ext cx="1736725" cy="1181100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50"/>
            <a:t>Applicant</a:t>
          </a:r>
          <a:r>
            <a:rPr lang="en-GB" sz="1050" baseline="0"/>
            <a:t> asks for a variation, producing argument and and relevant documents</a:t>
          </a:r>
          <a:endParaRPr lang="en-GB" sz="1050"/>
        </a:p>
      </xdr:txBody>
    </xdr:sp>
    <xdr:clientData/>
  </xdr:twoCellAnchor>
  <xdr:twoCellAnchor>
    <xdr:from>
      <xdr:col>1</xdr:col>
      <xdr:colOff>28575</xdr:colOff>
      <xdr:row>32</xdr:row>
      <xdr:rowOff>174625</xdr:rowOff>
    </xdr:from>
    <xdr:to>
      <xdr:col>3</xdr:col>
      <xdr:colOff>561975</xdr:colOff>
      <xdr:row>38</xdr:row>
      <xdr:rowOff>19050</xdr:rowOff>
    </xdr:to>
    <xdr:sp macro="" textlink="">
      <xdr:nvSpPr>
        <xdr:cNvPr id="7" name="Down Arrow Callout 6">
          <a:extLst>
            <a:ext uri="{FF2B5EF4-FFF2-40B4-BE49-F238E27FC236}">
              <a16:creationId xmlns:a16="http://schemas.microsoft.com/office/drawing/2014/main" id="{554E1907-6226-49C1-8359-0504C32112DB}"/>
            </a:ext>
          </a:extLst>
        </xdr:cNvPr>
        <xdr:cNvSpPr/>
      </xdr:nvSpPr>
      <xdr:spPr>
        <a:xfrm>
          <a:off x="638175" y="6784975"/>
          <a:ext cx="1752600" cy="98742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often refused at first instance, necessitating (within 28</a:t>
          </a:r>
          <a:r>
            <a:rPr lang="en-GB" sz="1100" baseline="0"/>
            <a:t> days)</a:t>
          </a:r>
          <a:r>
            <a:rPr lang="en-GB" sz="1100"/>
            <a:t>:</a:t>
          </a:r>
        </a:p>
        <a:p>
          <a:pPr algn="l"/>
          <a:endParaRPr lang="en-GB" sz="1100"/>
        </a:p>
      </xdr:txBody>
    </xdr:sp>
    <xdr:clientData/>
  </xdr:twoCellAnchor>
  <xdr:twoCellAnchor>
    <xdr:from>
      <xdr:col>1</xdr:col>
      <xdr:colOff>28575</xdr:colOff>
      <xdr:row>37</xdr:row>
      <xdr:rowOff>142875</xdr:rowOff>
    </xdr:from>
    <xdr:to>
      <xdr:col>3</xdr:col>
      <xdr:colOff>508000</xdr:colOff>
      <xdr:row>42</xdr:row>
      <xdr:rowOff>171450</xdr:rowOff>
    </xdr:to>
    <xdr:sp macro="" textlink="">
      <xdr:nvSpPr>
        <xdr:cNvPr id="8" name="Down Arrow Callout 7">
          <a:extLst>
            <a:ext uri="{FF2B5EF4-FFF2-40B4-BE49-F238E27FC236}">
              <a16:creationId xmlns:a16="http://schemas.microsoft.com/office/drawing/2014/main" id="{4C4708EB-5E58-4E5C-A72D-CB631F1A9EFC}"/>
            </a:ext>
          </a:extLst>
        </xdr:cNvPr>
        <xdr:cNvSpPr/>
      </xdr:nvSpPr>
      <xdr:spPr>
        <a:xfrm>
          <a:off x="638175" y="7705725"/>
          <a:ext cx="1698625" cy="98107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Application for Mandatory</a:t>
          </a:r>
          <a:r>
            <a:rPr lang="en-GB" sz="1100" baseline="0"/>
            <a:t> Review; and then:</a:t>
          </a:r>
          <a:endParaRPr lang="en-GB" sz="1100"/>
        </a:p>
      </xdr:txBody>
    </xdr:sp>
    <xdr:clientData/>
  </xdr:twoCellAnchor>
  <xdr:twoCellAnchor>
    <xdr:from>
      <xdr:col>1</xdr:col>
      <xdr:colOff>38100</xdr:colOff>
      <xdr:row>43</xdr:row>
      <xdr:rowOff>19050</xdr:rowOff>
    </xdr:from>
    <xdr:to>
      <xdr:col>3</xdr:col>
      <xdr:colOff>571500</xdr:colOff>
      <xdr:row>47</xdr:row>
      <xdr:rowOff>142875</xdr:rowOff>
    </xdr:to>
    <xdr:sp macro="" textlink="">
      <xdr:nvSpPr>
        <xdr:cNvPr id="9" name="Down Arrow Callout 8">
          <a:extLst>
            <a:ext uri="{FF2B5EF4-FFF2-40B4-BE49-F238E27FC236}">
              <a16:creationId xmlns:a16="http://schemas.microsoft.com/office/drawing/2014/main" id="{9C690751-E25D-40FB-A946-749A9E83678B}"/>
            </a:ext>
          </a:extLst>
        </xdr:cNvPr>
        <xdr:cNvSpPr/>
      </xdr:nvSpPr>
      <xdr:spPr>
        <a:xfrm>
          <a:off x="647700" y="8724900"/>
          <a:ext cx="1752600" cy="88582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Appeal to first tier tribunal</a:t>
          </a:r>
        </a:p>
        <a:p>
          <a:pPr algn="l"/>
          <a:endParaRPr lang="en-GB" sz="1100"/>
        </a:p>
      </xdr:txBody>
    </xdr:sp>
    <xdr:clientData/>
  </xdr:twoCellAnchor>
  <xdr:twoCellAnchor>
    <xdr:from>
      <xdr:col>1</xdr:col>
      <xdr:colOff>28575</xdr:colOff>
      <xdr:row>47</xdr:row>
      <xdr:rowOff>174625</xdr:rowOff>
    </xdr:from>
    <xdr:to>
      <xdr:col>3</xdr:col>
      <xdr:colOff>561975</xdr:colOff>
      <xdr:row>53</xdr:row>
      <xdr:rowOff>114300</xdr:rowOff>
    </xdr:to>
    <xdr:sp macro="" textlink="">
      <xdr:nvSpPr>
        <xdr:cNvPr id="10" name="Down Arrow Callout 9">
          <a:extLst>
            <a:ext uri="{FF2B5EF4-FFF2-40B4-BE49-F238E27FC236}">
              <a16:creationId xmlns:a16="http://schemas.microsoft.com/office/drawing/2014/main" id="{80A99FB7-0F75-4984-B031-7B5947F0E147}"/>
            </a:ext>
          </a:extLst>
        </xdr:cNvPr>
        <xdr:cNvSpPr/>
      </xdr:nvSpPr>
      <xdr:spPr>
        <a:xfrm>
          <a:off x="638175" y="9642475"/>
          <a:ext cx="1752600" cy="108267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CMS presenting officer provides</a:t>
          </a:r>
          <a:r>
            <a:rPr lang="en-GB" sz="1100" baseline="0"/>
            <a:t> all the relevant papers</a:t>
          </a:r>
          <a:endParaRPr lang="en-GB" sz="1100"/>
        </a:p>
      </xdr:txBody>
    </xdr:sp>
    <xdr:clientData/>
  </xdr:twoCellAnchor>
  <xdr:twoCellAnchor>
    <xdr:from>
      <xdr:col>1</xdr:col>
      <xdr:colOff>28575</xdr:colOff>
      <xdr:row>53</xdr:row>
      <xdr:rowOff>161925</xdr:rowOff>
    </xdr:from>
    <xdr:to>
      <xdr:col>3</xdr:col>
      <xdr:colOff>561975</xdr:colOff>
      <xdr:row>58</xdr:row>
      <xdr:rowOff>95250</xdr:rowOff>
    </xdr:to>
    <xdr:sp macro="" textlink="">
      <xdr:nvSpPr>
        <xdr:cNvPr id="11" name="Down Arrow Callout 10">
          <a:extLst>
            <a:ext uri="{FF2B5EF4-FFF2-40B4-BE49-F238E27FC236}">
              <a16:creationId xmlns:a16="http://schemas.microsoft.com/office/drawing/2014/main" id="{CBC9BE73-0F8A-4467-8C16-413614FAAC03}"/>
            </a:ext>
          </a:extLst>
        </xdr:cNvPr>
        <xdr:cNvSpPr/>
      </xdr:nvSpPr>
      <xdr:spPr>
        <a:xfrm>
          <a:off x="638175" y="10772775"/>
          <a:ext cx="1752600" cy="88582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Judge gives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directions for producing evidence</a:t>
          </a:r>
          <a:endParaRPr lang="en-GB">
            <a:effectLst/>
          </a:endParaRPr>
        </a:p>
      </xdr:txBody>
    </xdr:sp>
    <xdr:clientData/>
  </xdr:twoCellAnchor>
  <xdr:twoCellAnchor>
    <xdr:from>
      <xdr:col>1</xdr:col>
      <xdr:colOff>47624</xdr:colOff>
      <xdr:row>59</xdr:row>
      <xdr:rowOff>0</xdr:rowOff>
    </xdr:from>
    <xdr:to>
      <xdr:col>3</xdr:col>
      <xdr:colOff>533399</xdr:colOff>
      <xdr:row>65</xdr:row>
      <xdr:rowOff>57150</xdr:rowOff>
    </xdr:to>
    <xdr:sp macro="" textlink="">
      <xdr:nvSpPr>
        <xdr:cNvPr id="12" name="Down Arrow Callout 11">
          <a:extLst>
            <a:ext uri="{FF2B5EF4-FFF2-40B4-BE49-F238E27FC236}">
              <a16:creationId xmlns:a16="http://schemas.microsoft.com/office/drawing/2014/main" id="{1E40AE55-67EC-45E7-BF83-40AB014AF7C1}"/>
            </a:ext>
          </a:extLst>
        </xdr:cNvPr>
        <xdr:cNvSpPr/>
      </xdr:nvSpPr>
      <xdr:spPr>
        <a:xfrm>
          <a:off x="657224" y="11753850"/>
          <a:ext cx="1704975" cy="1200150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Decision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(Possible appeal to upper tribunal)</a:t>
          </a:r>
          <a:endParaRPr lang="en-GB">
            <a:effectLst/>
          </a:endParaRPr>
        </a:p>
      </xdr:txBody>
    </xdr:sp>
    <xdr:clientData/>
  </xdr:twoCellAnchor>
  <xdr:twoCellAnchor>
    <xdr:from>
      <xdr:col>8</xdr:col>
      <xdr:colOff>15875</xdr:colOff>
      <xdr:row>8</xdr:row>
      <xdr:rowOff>15875</xdr:rowOff>
    </xdr:from>
    <xdr:to>
      <xdr:col>10</xdr:col>
      <xdr:colOff>565150</xdr:colOff>
      <xdr:row>14</xdr:row>
      <xdr:rowOff>127000</xdr:rowOff>
    </xdr:to>
    <xdr:sp macro="" textlink="">
      <xdr:nvSpPr>
        <xdr:cNvPr id="13" name="Down Arrow Callout 12">
          <a:extLst>
            <a:ext uri="{FF2B5EF4-FFF2-40B4-BE49-F238E27FC236}">
              <a16:creationId xmlns:a16="http://schemas.microsoft.com/office/drawing/2014/main" id="{104F33BE-17E5-472D-9736-239881CAD799}"/>
            </a:ext>
          </a:extLst>
        </xdr:cNvPr>
        <xdr:cNvSpPr/>
      </xdr:nvSpPr>
      <xdr:spPr>
        <a:xfrm>
          <a:off x="4483100" y="2054225"/>
          <a:ext cx="1768475" cy="1254125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Attend Mediation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and Assessment meeting ("MIAM")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47625</xdr:colOff>
      <xdr:row>15</xdr:row>
      <xdr:rowOff>63501</xdr:rowOff>
    </xdr:from>
    <xdr:to>
      <xdr:col>8</xdr:col>
      <xdr:colOff>549275</xdr:colOff>
      <xdr:row>19</xdr:row>
      <xdr:rowOff>158751</xdr:rowOff>
    </xdr:to>
    <xdr:sp macro="" textlink="">
      <xdr:nvSpPr>
        <xdr:cNvPr id="14" name="Down Arrow Callout 13">
          <a:extLst>
            <a:ext uri="{FF2B5EF4-FFF2-40B4-BE49-F238E27FC236}">
              <a16:creationId xmlns:a16="http://schemas.microsoft.com/office/drawing/2014/main" id="{0E872049-6F2F-4D95-BD43-E872A55520FD}"/>
            </a:ext>
          </a:extLst>
        </xdr:cNvPr>
        <xdr:cNvSpPr/>
      </xdr:nvSpPr>
      <xdr:spPr>
        <a:xfrm>
          <a:off x="3295650" y="3435351"/>
          <a:ext cx="1720850" cy="857250"/>
        </a:xfrm>
        <a:prstGeom prst="downArrowCallout">
          <a:avLst>
            <a:gd name="adj1" fmla="val 3495"/>
            <a:gd name="adj2" fmla="val 6720"/>
            <a:gd name="adj3" fmla="val 25000"/>
            <a:gd name="adj4" fmla="val 6497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Issue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application for Fees funding on form A1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6349</xdr:colOff>
      <xdr:row>15</xdr:row>
      <xdr:rowOff>79375</xdr:rowOff>
    </xdr:from>
    <xdr:to>
      <xdr:col>12</xdr:col>
      <xdr:colOff>498474</xdr:colOff>
      <xdr:row>20</xdr:row>
      <xdr:rowOff>111125</xdr:rowOff>
    </xdr:to>
    <xdr:sp macro="" textlink="">
      <xdr:nvSpPr>
        <xdr:cNvPr id="15" name="Down Arrow Callout 14">
          <a:extLst>
            <a:ext uri="{FF2B5EF4-FFF2-40B4-BE49-F238E27FC236}">
              <a16:creationId xmlns:a16="http://schemas.microsoft.com/office/drawing/2014/main" id="{3CFE05B7-4060-4914-A428-9DE056036F3B}"/>
            </a:ext>
          </a:extLst>
        </xdr:cNvPr>
        <xdr:cNvSpPr/>
      </xdr:nvSpPr>
      <xdr:spPr>
        <a:xfrm>
          <a:off x="5692774" y="3108325"/>
          <a:ext cx="1873250" cy="841375"/>
        </a:xfrm>
        <a:prstGeom prst="downArrowCallout">
          <a:avLst>
            <a:gd name="adj1" fmla="val 3495"/>
            <a:gd name="adj2" fmla="val 6720"/>
            <a:gd name="adj3" fmla="val 25000"/>
            <a:gd name="adj4" fmla="val 65323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Issue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application for financial provision on form A1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9525</xdr:colOff>
      <xdr:row>22</xdr:row>
      <xdr:rowOff>0</xdr:rowOff>
    </xdr:from>
    <xdr:to>
      <xdr:col>12</xdr:col>
      <xdr:colOff>511175</xdr:colOff>
      <xdr:row>26</xdr:row>
      <xdr:rowOff>95250</xdr:rowOff>
    </xdr:to>
    <xdr:sp macro="" textlink="">
      <xdr:nvSpPr>
        <xdr:cNvPr id="17" name="Down Arrow Callout 16">
          <a:extLst>
            <a:ext uri="{FF2B5EF4-FFF2-40B4-BE49-F238E27FC236}">
              <a16:creationId xmlns:a16="http://schemas.microsoft.com/office/drawing/2014/main" id="{64BA7D47-2ED4-45CC-AD98-BFBA13717AD5}"/>
            </a:ext>
          </a:extLst>
        </xdr:cNvPr>
        <xdr:cNvSpPr/>
      </xdr:nvSpPr>
      <xdr:spPr>
        <a:xfrm>
          <a:off x="5695950" y="4162425"/>
          <a:ext cx="1882775" cy="742950"/>
        </a:xfrm>
        <a:prstGeom prst="downArrowCallout">
          <a:avLst>
            <a:gd name="adj1" fmla="val 3495"/>
            <a:gd name="adj2" fmla="val 6720"/>
            <a:gd name="adj3" fmla="val 25000"/>
            <a:gd name="adj4" fmla="val 56482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Disclosure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given in form E1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19050</xdr:colOff>
      <xdr:row>27</xdr:row>
      <xdr:rowOff>152400</xdr:rowOff>
    </xdr:from>
    <xdr:to>
      <xdr:col>12</xdr:col>
      <xdr:colOff>520700</xdr:colOff>
      <xdr:row>33</xdr:row>
      <xdr:rowOff>47625</xdr:rowOff>
    </xdr:to>
    <xdr:sp macro="" textlink="">
      <xdr:nvSpPr>
        <xdr:cNvPr id="18" name="Down Arrow Callout 17">
          <a:extLst>
            <a:ext uri="{FF2B5EF4-FFF2-40B4-BE49-F238E27FC236}">
              <a16:creationId xmlns:a16="http://schemas.microsoft.com/office/drawing/2014/main" id="{F5B46F00-B6AC-47A4-BF12-B12039EF88F1}"/>
            </a:ext>
          </a:extLst>
        </xdr:cNvPr>
        <xdr:cNvSpPr/>
      </xdr:nvSpPr>
      <xdr:spPr>
        <a:xfrm>
          <a:off x="5705475" y="5124450"/>
          <a:ext cx="1882775" cy="866775"/>
        </a:xfrm>
        <a:prstGeom prst="downArrowCallout">
          <a:avLst>
            <a:gd name="adj1" fmla="val 3495"/>
            <a:gd name="adj2" fmla="val 6720"/>
            <a:gd name="adj3" fmla="val 25000"/>
            <a:gd name="adj4" fmla="val 50926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 hearing documents exchanged.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501650</xdr:colOff>
      <xdr:row>39</xdr:row>
      <xdr:rowOff>95250</xdr:rowOff>
    </xdr:to>
    <xdr:sp macro="" textlink="">
      <xdr:nvSpPr>
        <xdr:cNvPr id="19" name="Down Arrow Callout 18">
          <a:extLst>
            <a:ext uri="{FF2B5EF4-FFF2-40B4-BE49-F238E27FC236}">
              <a16:creationId xmlns:a16="http://schemas.microsoft.com/office/drawing/2014/main" id="{7C789433-06A4-40C6-ABE3-16FA0F411492}"/>
            </a:ext>
          </a:extLst>
        </xdr:cNvPr>
        <xdr:cNvSpPr/>
      </xdr:nvSpPr>
      <xdr:spPr>
        <a:xfrm>
          <a:off x="5686425" y="7181850"/>
          <a:ext cx="1720850" cy="857250"/>
        </a:xfrm>
        <a:prstGeom prst="downArrowCallout">
          <a:avLst>
            <a:gd name="adj1" fmla="val 3495"/>
            <a:gd name="adj2" fmla="val 6720"/>
            <a:gd name="adj3" fmla="val 25000"/>
            <a:gd name="adj4" fmla="val 65741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First appointment hearing; the court gives directions.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507999</xdr:colOff>
      <xdr:row>38</xdr:row>
      <xdr:rowOff>127000</xdr:rowOff>
    </xdr:from>
    <xdr:to>
      <xdr:col>6</xdr:col>
      <xdr:colOff>238124</xdr:colOff>
      <xdr:row>41</xdr:row>
      <xdr:rowOff>47625</xdr:rowOff>
    </xdr:to>
    <xdr:sp macro="" textlink="">
      <xdr:nvSpPr>
        <xdr:cNvPr id="20" name="Down Arrow 20">
          <a:extLst>
            <a:ext uri="{FF2B5EF4-FFF2-40B4-BE49-F238E27FC236}">
              <a16:creationId xmlns:a16="http://schemas.microsoft.com/office/drawing/2014/main" id="{5353B651-F56D-4989-BD9C-896555613865}"/>
            </a:ext>
          </a:extLst>
        </xdr:cNvPr>
        <xdr:cNvSpPr/>
      </xdr:nvSpPr>
      <xdr:spPr>
        <a:xfrm rot="3421044">
          <a:off x="2665411" y="7551738"/>
          <a:ext cx="492125" cy="1149350"/>
        </a:xfrm>
        <a:prstGeom prst="downArrow">
          <a:avLst>
            <a:gd name="adj1" fmla="val 18122"/>
            <a:gd name="adj2" fmla="val 50000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12</xdr:col>
      <xdr:colOff>501650</xdr:colOff>
      <xdr:row>52</xdr:row>
      <xdr:rowOff>95250</xdr:rowOff>
    </xdr:to>
    <xdr:sp macro="" textlink="">
      <xdr:nvSpPr>
        <xdr:cNvPr id="21" name="Down Arrow Callout 21">
          <a:extLst>
            <a:ext uri="{FF2B5EF4-FFF2-40B4-BE49-F238E27FC236}">
              <a16:creationId xmlns:a16="http://schemas.microsoft.com/office/drawing/2014/main" id="{D58A2316-AAF2-4277-A266-5ACAB8B99EC4}"/>
            </a:ext>
          </a:extLst>
        </xdr:cNvPr>
        <xdr:cNvSpPr/>
      </xdr:nvSpPr>
      <xdr:spPr>
        <a:xfrm>
          <a:off x="5686425" y="9467850"/>
          <a:ext cx="1720850" cy="1047750"/>
        </a:xfrm>
        <a:prstGeom prst="downArrowCallout">
          <a:avLst>
            <a:gd name="adj1" fmla="val 3495"/>
            <a:gd name="adj2" fmla="val 6720"/>
            <a:gd name="adj3" fmla="val 25000"/>
            <a:gd name="adj4" fmla="val 52778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Financial dispute resolution hearing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12</xdr:col>
      <xdr:colOff>501650</xdr:colOff>
      <xdr:row>66</xdr:row>
      <xdr:rowOff>95250</xdr:rowOff>
    </xdr:to>
    <xdr:sp macro="" textlink="">
      <xdr:nvSpPr>
        <xdr:cNvPr id="22" name="Down Arrow Callout 22">
          <a:extLst>
            <a:ext uri="{FF2B5EF4-FFF2-40B4-BE49-F238E27FC236}">
              <a16:creationId xmlns:a16="http://schemas.microsoft.com/office/drawing/2014/main" id="{8FB196BA-E94A-4928-8E5E-BB80C1D05F98}"/>
            </a:ext>
          </a:extLst>
        </xdr:cNvPr>
        <xdr:cNvSpPr/>
      </xdr:nvSpPr>
      <xdr:spPr>
        <a:xfrm>
          <a:off x="5686425" y="12325350"/>
          <a:ext cx="1720850" cy="857250"/>
        </a:xfrm>
        <a:prstGeom prst="downArrowCallout">
          <a:avLst>
            <a:gd name="adj1" fmla="val 3495"/>
            <a:gd name="adj2" fmla="val 6720"/>
            <a:gd name="adj3" fmla="val 25000"/>
            <a:gd name="adj4" fmla="val 75000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Final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Hearing 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79376</xdr:colOff>
      <xdr:row>35</xdr:row>
      <xdr:rowOff>63499</xdr:rowOff>
    </xdr:from>
    <xdr:to>
      <xdr:col>8</xdr:col>
      <xdr:colOff>555626</xdr:colOff>
      <xdr:row>39</xdr:row>
      <xdr:rowOff>66674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628B0554-3803-4517-A50B-30E9976A9044}"/>
            </a:ext>
          </a:extLst>
        </xdr:cNvPr>
        <xdr:cNvSpPr/>
      </xdr:nvSpPr>
      <xdr:spPr>
        <a:xfrm>
          <a:off x="3327401" y="6330949"/>
          <a:ext cx="1695450" cy="6508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Decision as regards funding of court and CMS processes </a:t>
          </a:r>
        </a:p>
      </xdr:txBody>
    </xdr:sp>
    <xdr:clientData/>
  </xdr:twoCellAnchor>
  <xdr:twoCellAnchor>
    <xdr:from>
      <xdr:col>8</xdr:col>
      <xdr:colOff>381000</xdr:colOff>
      <xdr:row>38</xdr:row>
      <xdr:rowOff>111126</xdr:rowOff>
    </xdr:from>
    <xdr:to>
      <xdr:col>10</xdr:col>
      <xdr:colOff>111125</xdr:colOff>
      <xdr:row>41</xdr:row>
      <xdr:rowOff>31751</xdr:rowOff>
    </xdr:to>
    <xdr:sp macro="" textlink="">
      <xdr:nvSpPr>
        <xdr:cNvPr id="24" name="Down Arrow 25">
          <a:extLst>
            <a:ext uri="{FF2B5EF4-FFF2-40B4-BE49-F238E27FC236}">
              <a16:creationId xmlns:a16="http://schemas.microsoft.com/office/drawing/2014/main" id="{37CFD8C4-376B-4158-97B8-D21CB62B4E90}"/>
            </a:ext>
          </a:extLst>
        </xdr:cNvPr>
        <xdr:cNvSpPr/>
      </xdr:nvSpPr>
      <xdr:spPr>
        <a:xfrm rot="18619026">
          <a:off x="5076825" y="7635876"/>
          <a:ext cx="492125" cy="949325"/>
        </a:xfrm>
        <a:prstGeom prst="downArrow">
          <a:avLst>
            <a:gd name="adj1" fmla="val 18122"/>
            <a:gd name="adj2" fmla="val 50000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142875</xdr:colOff>
      <xdr:row>0</xdr:row>
      <xdr:rowOff>111125</xdr:rowOff>
    </xdr:from>
    <xdr:to>
      <xdr:col>10</xdr:col>
      <xdr:colOff>412750</xdr:colOff>
      <xdr:row>3</xdr:row>
      <xdr:rowOff>123825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92E1FDEA-3E9E-4D40-A82E-54CC67B5202A}"/>
            </a:ext>
          </a:extLst>
        </xdr:cNvPr>
        <xdr:cNvSpPr/>
      </xdr:nvSpPr>
      <xdr:spPr>
        <a:xfrm>
          <a:off x="1971675" y="111125"/>
          <a:ext cx="4127500" cy="4984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</a:t>
          </a:r>
          <a:r>
            <a:rPr lang="en-GB" sz="1100" baseline="0">
              <a:solidFill>
                <a:sysClr val="windowText" lastClr="000000"/>
              </a:solidFill>
            </a:rPr>
            <a:t> the light of the cost delay and uncertainty of the process below, and its outcomes an exploration to find agreement...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6"/>
  <sheetViews>
    <sheetView view="pageBreakPreview" zoomScale="60" zoomScaleNormal="80" workbookViewId="0">
      <selection activeCell="B34" sqref="B34"/>
    </sheetView>
  </sheetViews>
  <sheetFormatPr defaultRowHeight="12.75" x14ac:dyDescent="0.2"/>
  <cols>
    <col min="1" max="1" width="1.42578125" customWidth="1"/>
    <col min="2" max="2" width="27" customWidth="1"/>
    <col min="3" max="3" width="13.140625" customWidth="1"/>
    <col min="4" max="4" width="10.42578125" customWidth="1"/>
    <col min="5" max="5" width="13.5703125" customWidth="1"/>
    <col min="6" max="6" width="12.140625" customWidth="1"/>
    <col min="7" max="7" width="11.28515625" customWidth="1"/>
    <col min="8" max="8" width="9.5703125" customWidth="1"/>
  </cols>
  <sheetData>
    <row r="1" spans="2:8" ht="15" x14ac:dyDescent="0.25">
      <c r="C1" s="209" t="s">
        <v>53</v>
      </c>
      <c r="D1" s="209"/>
      <c r="E1" s="209"/>
      <c r="F1" s="209"/>
    </row>
    <row r="2" spans="2:8" ht="6" customHeight="1" x14ac:dyDescent="0.2"/>
    <row r="3" spans="2:8" x14ac:dyDescent="0.2">
      <c r="B3" s="101" t="s">
        <v>54</v>
      </c>
      <c r="C3" s="102" t="s">
        <v>55</v>
      </c>
      <c r="D3" s="57"/>
      <c r="E3" s="210" t="s">
        <v>56</v>
      </c>
      <c r="F3" s="210"/>
      <c r="G3" s="210"/>
    </row>
    <row r="4" spans="2:8" x14ac:dyDescent="0.2">
      <c r="B4" s="101" t="s">
        <v>57</v>
      </c>
      <c r="C4" s="103" t="s">
        <v>58</v>
      </c>
      <c r="D4" s="57"/>
      <c r="E4" s="100" t="s">
        <v>59</v>
      </c>
      <c r="F4" s="100"/>
      <c r="G4" s="100"/>
    </row>
    <row r="5" spans="2:8" x14ac:dyDescent="0.2">
      <c r="B5" s="101" t="s">
        <v>60</v>
      </c>
      <c r="C5" s="104" t="s">
        <v>61</v>
      </c>
      <c r="D5" s="57"/>
      <c r="E5" s="57"/>
      <c r="F5" s="57"/>
      <c r="G5" s="57"/>
    </row>
    <row r="6" spans="2:8" ht="5.25" customHeight="1" x14ac:dyDescent="0.2"/>
    <row r="7" spans="2:8" ht="15" x14ac:dyDescent="0.2">
      <c r="B7" s="188" t="s">
        <v>210</v>
      </c>
      <c r="C7" s="188"/>
    </row>
    <row r="8" spans="2:8" x14ac:dyDescent="0.2">
      <c r="B8" s="216" t="s">
        <v>211</v>
      </c>
      <c r="C8" s="182" t="s">
        <v>62</v>
      </c>
      <c r="D8" s="182" t="s">
        <v>63</v>
      </c>
      <c r="E8" s="182" t="s">
        <v>64</v>
      </c>
      <c r="F8" s="182" t="s">
        <v>65</v>
      </c>
      <c r="G8" s="183" t="s">
        <v>66</v>
      </c>
      <c r="H8" s="184" t="s">
        <v>136</v>
      </c>
    </row>
    <row r="9" spans="2:8" ht="31.5" customHeight="1" x14ac:dyDescent="0.2">
      <c r="B9" s="217"/>
      <c r="C9" s="185" t="s">
        <v>228</v>
      </c>
      <c r="D9" s="186" t="s">
        <v>113</v>
      </c>
      <c r="G9" s="186" t="s">
        <v>220</v>
      </c>
    </row>
    <row r="10" spans="2:8" ht="27" x14ac:dyDescent="0.2">
      <c r="B10" s="187" t="s">
        <v>107</v>
      </c>
      <c r="C10" s="191" t="s">
        <v>212</v>
      </c>
      <c r="D10" s="191" t="s">
        <v>213</v>
      </c>
      <c r="E10" s="177" t="s">
        <v>67</v>
      </c>
      <c r="G10" s="5"/>
    </row>
    <row r="11" spans="2:8" ht="22.5" x14ac:dyDescent="0.2">
      <c r="B11" s="105" t="s">
        <v>108</v>
      </c>
      <c r="C11" s="106" t="s">
        <v>112</v>
      </c>
      <c r="D11" s="211" t="s">
        <v>214</v>
      </c>
      <c r="E11" s="212"/>
    </row>
    <row r="12" spans="2:8" x14ac:dyDescent="0.2">
      <c r="B12" s="107" t="s">
        <v>215</v>
      </c>
      <c r="C12" s="191" t="s">
        <v>216</v>
      </c>
    </row>
    <row r="13" spans="2:8" ht="23.25" customHeight="1" x14ac:dyDescent="0.2">
      <c r="B13" s="189" t="s">
        <v>114</v>
      </c>
      <c r="C13" s="108" t="s">
        <v>217</v>
      </c>
    </row>
    <row r="14" spans="2:8" x14ac:dyDescent="0.2">
      <c r="B14" s="190" t="s">
        <v>109</v>
      </c>
    </row>
    <row r="15" spans="2:8" ht="12.75" customHeight="1" x14ac:dyDescent="0.2">
      <c r="B15" s="167" t="s">
        <v>110</v>
      </c>
      <c r="C15" s="109" t="s">
        <v>115</v>
      </c>
      <c r="D15" s="110"/>
    </row>
    <row r="16" spans="2:8" ht="22.5" customHeight="1" x14ac:dyDescent="0.2">
      <c r="B16" s="169" t="s">
        <v>111</v>
      </c>
      <c r="C16" s="166" t="s">
        <v>68</v>
      </c>
      <c r="D16" s="195" t="s">
        <v>116</v>
      </c>
      <c r="E16" s="96" t="s">
        <v>69</v>
      </c>
      <c r="F16" s="140" t="s">
        <v>70</v>
      </c>
      <c r="G16" s="138" t="s">
        <v>123</v>
      </c>
    </row>
    <row r="17" spans="2:8" ht="24" x14ac:dyDescent="0.2">
      <c r="B17" s="170" t="s">
        <v>124</v>
      </c>
      <c r="C17" s="168" t="s">
        <v>71</v>
      </c>
      <c r="D17" s="99" t="s">
        <v>117</v>
      </c>
      <c r="E17" s="99" t="s">
        <v>72</v>
      </c>
      <c r="F17" s="97" t="s">
        <v>73</v>
      </c>
      <c r="G17" s="98" t="s">
        <v>74</v>
      </c>
      <c r="H17" s="99" t="s">
        <v>75</v>
      </c>
    </row>
    <row r="18" spans="2:8" ht="6.75" customHeight="1" x14ac:dyDescent="0.2"/>
    <row r="19" spans="2:8" ht="15" x14ac:dyDescent="0.25">
      <c r="B19" s="171" t="s">
        <v>218</v>
      </c>
      <c r="C19" s="172"/>
      <c r="E19" s="113" t="s">
        <v>76</v>
      </c>
      <c r="F19" s="114"/>
      <c r="G19" s="111"/>
      <c r="H19" s="112"/>
    </row>
    <row r="20" spans="2:8" x14ac:dyDescent="0.2">
      <c r="B20" s="173" t="s">
        <v>77</v>
      </c>
      <c r="C20" s="174" t="s">
        <v>78</v>
      </c>
      <c r="E20" s="115" t="s">
        <v>79</v>
      </c>
      <c r="F20" s="116"/>
      <c r="G20" s="79"/>
      <c r="H20" s="95"/>
    </row>
    <row r="21" spans="2:8" ht="24" x14ac:dyDescent="0.2">
      <c r="B21" s="173" t="s">
        <v>80</v>
      </c>
      <c r="C21" s="174" t="s">
        <v>81</v>
      </c>
      <c r="E21" s="115" t="s">
        <v>82</v>
      </c>
      <c r="F21" s="116"/>
      <c r="G21" s="79"/>
      <c r="H21" s="95"/>
    </row>
    <row r="22" spans="2:8" x14ac:dyDescent="0.2">
      <c r="B22" s="173" t="s">
        <v>83</v>
      </c>
      <c r="C22" s="174" t="s">
        <v>84</v>
      </c>
      <c r="E22" s="120" t="s">
        <v>85</v>
      </c>
      <c r="F22" s="116"/>
      <c r="G22" s="116"/>
      <c r="H22" s="117"/>
    </row>
    <row r="23" spans="2:8" x14ac:dyDescent="0.2">
      <c r="B23" s="173" t="s">
        <v>86</v>
      </c>
      <c r="C23" s="174" t="s">
        <v>87</v>
      </c>
      <c r="E23" s="196"/>
      <c r="F23" s="197"/>
      <c r="G23" s="197"/>
      <c r="H23" s="198"/>
    </row>
    <row r="24" spans="2:8" x14ac:dyDescent="0.2">
      <c r="B24" s="175" t="s">
        <v>88</v>
      </c>
      <c r="C24" s="176" t="s">
        <v>89</v>
      </c>
      <c r="E24" s="118" t="s">
        <v>90</v>
      </c>
      <c r="F24" s="119"/>
      <c r="G24" s="119"/>
      <c r="H24" s="121"/>
    </row>
    <row r="25" spans="2:8" ht="6.75" customHeight="1" x14ac:dyDescent="0.2"/>
    <row r="26" spans="2:8" ht="15" x14ac:dyDescent="0.25">
      <c r="B26" s="122" t="s">
        <v>91</v>
      </c>
      <c r="C26" s="122"/>
      <c r="E26" s="178" t="s">
        <v>92</v>
      </c>
      <c r="F26" s="179"/>
      <c r="G26" s="179"/>
    </row>
    <row r="27" spans="2:8" ht="37.5" customHeight="1" x14ac:dyDescent="0.2">
      <c r="B27" s="123" t="s">
        <v>219</v>
      </c>
      <c r="C27" s="180" t="s">
        <v>93</v>
      </c>
      <c r="E27" s="213" t="s">
        <v>118</v>
      </c>
      <c r="F27" s="214"/>
      <c r="G27" s="215"/>
    </row>
    <row r="28" spans="2:8" ht="24" x14ac:dyDescent="0.2">
      <c r="B28" s="124" t="s">
        <v>94</v>
      </c>
      <c r="C28" s="180" t="s">
        <v>95</v>
      </c>
      <c r="E28" s="199" t="s">
        <v>96</v>
      </c>
      <c r="F28" s="200"/>
      <c r="G28" s="201"/>
    </row>
    <row r="29" spans="2:8" ht="24" x14ac:dyDescent="0.2">
      <c r="B29" s="125" t="s">
        <v>97</v>
      </c>
      <c r="C29" s="125" t="s">
        <v>208</v>
      </c>
      <c r="E29" s="203" t="s">
        <v>98</v>
      </c>
      <c r="F29" s="204"/>
      <c r="G29" s="205"/>
    </row>
    <row r="30" spans="2:8" ht="28.5" customHeight="1" x14ac:dyDescent="0.2">
      <c r="B30" s="125" t="s">
        <v>205</v>
      </c>
      <c r="C30" s="125" t="s">
        <v>206</v>
      </c>
      <c r="E30" s="199" t="s">
        <v>207</v>
      </c>
      <c r="F30" s="200"/>
      <c r="G30" s="201"/>
    </row>
    <row r="31" spans="2:8" ht="5.25" customHeight="1" x14ac:dyDescent="0.2">
      <c r="E31" s="206"/>
      <c r="F31" s="207"/>
      <c r="G31" s="208"/>
    </row>
    <row r="32" spans="2:8" ht="36" x14ac:dyDescent="0.2">
      <c r="B32" s="124" t="s">
        <v>99</v>
      </c>
      <c r="C32" s="180" t="s">
        <v>100</v>
      </c>
    </row>
    <row r="33" spans="2:6" ht="24" x14ac:dyDescent="0.2">
      <c r="B33" s="125" t="s">
        <v>209</v>
      </c>
      <c r="C33" s="181" t="s">
        <v>229</v>
      </c>
    </row>
    <row r="34" spans="2:6" ht="3.75" customHeight="1" x14ac:dyDescent="0.2">
      <c r="B34" s="93"/>
      <c r="C34" s="94"/>
    </row>
    <row r="35" spans="2:6" ht="15" x14ac:dyDescent="0.25">
      <c r="B35" s="126" t="s">
        <v>119</v>
      </c>
      <c r="E35" s="136" t="s">
        <v>101</v>
      </c>
      <c r="F35" s="137"/>
    </row>
    <row r="36" spans="2:6" x14ac:dyDescent="0.2">
      <c r="B36" s="192" t="s">
        <v>221</v>
      </c>
      <c r="E36" s="202" t="s">
        <v>102</v>
      </c>
      <c r="F36" s="202"/>
    </row>
    <row r="37" spans="2:6" x14ac:dyDescent="0.2">
      <c r="B37" s="192" t="s">
        <v>222</v>
      </c>
      <c r="E37" s="202" t="s">
        <v>103</v>
      </c>
      <c r="F37" s="202"/>
    </row>
    <row r="38" spans="2:6" x14ac:dyDescent="0.2">
      <c r="B38" s="193" t="s">
        <v>223</v>
      </c>
      <c r="E38" s="202" t="s">
        <v>104</v>
      </c>
      <c r="F38" s="202"/>
    </row>
    <row r="39" spans="2:6" ht="14.25" customHeight="1" x14ac:dyDescent="0.2">
      <c r="B39" s="192" t="s">
        <v>224</v>
      </c>
      <c r="E39" s="202" t="s">
        <v>105</v>
      </c>
      <c r="F39" s="202"/>
    </row>
    <row r="40" spans="2:6" x14ac:dyDescent="0.2">
      <c r="B40" s="193" t="s">
        <v>225</v>
      </c>
      <c r="E40" s="202" t="s">
        <v>106</v>
      </c>
      <c r="F40" s="202"/>
    </row>
    <row r="41" spans="2:6" x14ac:dyDescent="0.2">
      <c r="B41" s="192" t="s">
        <v>226</v>
      </c>
    </row>
    <row r="42" spans="2:6" ht="25.5" x14ac:dyDescent="0.2">
      <c r="B42" s="194" t="s">
        <v>227</v>
      </c>
    </row>
    <row r="43" spans="2:6" ht="3" customHeight="1" x14ac:dyDescent="0.2"/>
    <row r="44" spans="2:6" x14ac:dyDescent="0.2">
      <c r="B44" s="128" t="s">
        <v>120</v>
      </c>
      <c r="C44" s="127"/>
      <c r="D44" s="127"/>
      <c r="E44" s="127"/>
      <c r="F44" s="129"/>
    </row>
    <row r="45" spans="2:6" x14ac:dyDescent="0.2">
      <c r="B45" s="130" t="s">
        <v>122</v>
      </c>
      <c r="C45" s="131"/>
      <c r="D45" s="131"/>
      <c r="E45" s="131"/>
      <c r="F45" s="132"/>
    </row>
    <row r="46" spans="2:6" x14ac:dyDescent="0.2">
      <c r="B46" s="133" t="s">
        <v>121</v>
      </c>
      <c r="C46" s="134"/>
      <c r="D46" s="134"/>
      <c r="E46" s="134"/>
      <c r="F46" s="135"/>
    </row>
  </sheetData>
  <mergeCells count="13">
    <mergeCell ref="C1:F1"/>
    <mergeCell ref="E3:G3"/>
    <mergeCell ref="D11:E11"/>
    <mergeCell ref="E27:G27"/>
    <mergeCell ref="B8:B9"/>
    <mergeCell ref="E28:G28"/>
    <mergeCell ref="E39:F39"/>
    <mergeCell ref="E40:F40"/>
    <mergeCell ref="E29:G29"/>
    <mergeCell ref="E36:F36"/>
    <mergeCell ref="E37:F37"/>
    <mergeCell ref="E38:F38"/>
    <mergeCell ref="E30:G31"/>
  </mergeCells>
  <printOptions headings="1" gridLines="1"/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zoomScale="90" zoomScaleNormal="90" zoomScaleSheetLayoutView="90" workbookViewId="0">
      <selection activeCell="R62" sqref="R62"/>
    </sheetView>
  </sheetViews>
  <sheetFormatPr defaultRowHeight="12.75" x14ac:dyDescent="0.2"/>
  <cols>
    <col min="1" max="1" width="40.42578125" customWidth="1"/>
    <col min="2" max="2" width="1.85546875" customWidth="1"/>
    <col min="3" max="3" width="9.28515625" customWidth="1"/>
    <col min="4" max="4" width="8.140625" customWidth="1"/>
    <col min="5" max="5" width="7.42578125" customWidth="1"/>
    <col min="6" max="6" width="7.140625" customWidth="1"/>
    <col min="7" max="7" width="1.42578125" customWidth="1"/>
    <col min="8" max="8" width="9" customWidth="1"/>
    <col min="9" max="9" width="8" customWidth="1"/>
    <col min="11" max="11" width="2.28515625" customWidth="1"/>
  </cols>
  <sheetData>
    <row r="1" spans="1:14" ht="15" x14ac:dyDescent="0.2">
      <c r="A1" s="1"/>
      <c r="C1" s="218" t="s">
        <v>8</v>
      </c>
      <c r="D1" s="218"/>
      <c r="E1" s="218"/>
      <c r="H1" s="219" t="s">
        <v>134</v>
      </c>
      <c r="I1" s="220"/>
      <c r="J1" s="221"/>
      <c r="L1" s="219" t="s">
        <v>52</v>
      </c>
      <c r="M1" s="220"/>
      <c r="N1" s="221"/>
    </row>
    <row r="2" spans="1:14" ht="14.25" x14ac:dyDescent="0.2">
      <c r="A2" s="3" t="s">
        <v>3</v>
      </c>
      <c r="B2" s="4"/>
      <c r="F2" s="35" t="s">
        <v>12</v>
      </c>
      <c r="H2" s="82"/>
      <c r="I2" s="5"/>
      <c r="J2" s="6">
        <f>650000/52</f>
        <v>12500</v>
      </c>
      <c r="L2" s="82"/>
      <c r="M2" s="5"/>
      <c r="N2" s="6"/>
    </row>
    <row r="3" spans="1:14" x14ac:dyDescent="0.2">
      <c r="C3" s="9" t="s">
        <v>0</v>
      </c>
      <c r="D3" s="43" t="s">
        <v>1</v>
      </c>
      <c r="E3" s="44" t="s">
        <v>2</v>
      </c>
      <c r="H3" s="82"/>
      <c r="I3" s="5"/>
      <c r="J3" s="6"/>
      <c r="L3" s="82"/>
      <c r="M3" s="5"/>
      <c r="N3" s="6"/>
    </row>
    <row r="4" spans="1:14" hidden="1" x14ac:dyDescent="0.2">
      <c r="A4" s="56" t="s">
        <v>32</v>
      </c>
      <c r="C4" s="53"/>
      <c r="D4" s="54"/>
      <c r="E4" s="55"/>
      <c r="H4" s="82"/>
      <c r="I4" s="5"/>
      <c r="J4" s="6"/>
      <c r="L4" s="82"/>
      <c r="M4" s="5"/>
      <c r="N4" s="6"/>
    </row>
    <row r="5" spans="1:14" hidden="1" x14ac:dyDescent="0.2">
      <c r="A5" s="56" t="s">
        <v>33</v>
      </c>
      <c r="C5" s="53"/>
      <c r="D5" s="54"/>
      <c r="E5" s="55"/>
      <c r="H5" s="82"/>
      <c r="I5" s="5"/>
      <c r="J5" s="6"/>
      <c r="L5" s="82"/>
      <c r="M5" s="5"/>
      <c r="N5" s="6"/>
    </row>
    <row r="6" spans="1:14" ht="22.5" hidden="1" x14ac:dyDescent="0.2">
      <c r="A6" s="56" t="s">
        <v>34</v>
      </c>
      <c r="C6" s="53"/>
      <c r="D6" s="54"/>
      <c r="E6" s="55"/>
      <c r="H6" s="82"/>
      <c r="I6" s="5"/>
      <c r="J6" s="6"/>
      <c r="L6" s="82"/>
      <c r="M6" s="5"/>
      <c r="N6" s="6"/>
    </row>
    <row r="7" spans="1:14" ht="22.5" hidden="1" x14ac:dyDescent="0.2">
      <c r="A7" s="56" t="s">
        <v>35</v>
      </c>
      <c r="C7" s="53"/>
      <c r="D7" s="54"/>
      <c r="E7" s="55"/>
      <c r="H7" s="82"/>
      <c r="I7" s="5"/>
      <c r="J7" s="6"/>
      <c r="L7" s="82"/>
      <c r="M7" s="5"/>
      <c r="N7" s="6"/>
    </row>
    <row r="8" spans="1:14" hidden="1" x14ac:dyDescent="0.2">
      <c r="C8" s="53"/>
      <c r="D8" s="54"/>
      <c r="E8" s="55"/>
      <c r="H8" s="82"/>
      <c r="I8" s="5"/>
      <c r="J8" s="6"/>
      <c r="L8" s="82"/>
      <c r="M8" s="5"/>
      <c r="N8" s="6"/>
    </row>
    <row r="9" spans="1:14" x14ac:dyDescent="0.2">
      <c r="A9" s="2" t="s">
        <v>22</v>
      </c>
      <c r="C9" s="32">
        <v>850000</v>
      </c>
      <c r="D9" s="45">
        <f>+C9/12</f>
        <v>70833.333333333328</v>
      </c>
      <c r="E9" s="46">
        <f>+C9/52</f>
        <v>16346.153846153846</v>
      </c>
      <c r="F9" s="48">
        <f>+E9</f>
        <v>16346.153846153846</v>
      </c>
      <c r="G9" s="22"/>
      <c r="H9" s="82"/>
      <c r="I9" s="5"/>
      <c r="J9" s="6"/>
      <c r="L9" s="82"/>
      <c r="M9" s="5"/>
      <c r="N9" s="6"/>
    </row>
    <row r="10" spans="1:14" x14ac:dyDescent="0.2">
      <c r="A10" s="26" t="s">
        <v>13</v>
      </c>
      <c r="C10" s="33"/>
      <c r="D10" s="29"/>
      <c r="E10" s="29"/>
      <c r="F10" s="34"/>
      <c r="G10" s="34"/>
      <c r="H10" s="82"/>
      <c r="I10" s="5"/>
      <c r="J10" s="6"/>
      <c r="L10" s="82"/>
      <c r="M10" s="5"/>
      <c r="N10" s="6"/>
    </row>
    <row r="11" spans="1:14" x14ac:dyDescent="0.2">
      <c r="A11" s="26" t="s">
        <v>15</v>
      </c>
      <c r="C11" s="33"/>
      <c r="D11" s="29"/>
      <c r="E11" s="29"/>
      <c r="F11" s="34"/>
      <c r="G11" s="34"/>
      <c r="H11" s="82"/>
      <c r="I11" s="5"/>
      <c r="J11" s="6"/>
      <c r="L11" s="82"/>
      <c r="M11" s="5"/>
      <c r="N11" s="6"/>
    </row>
    <row r="12" spans="1:14" ht="5.25" customHeight="1" x14ac:dyDescent="0.2">
      <c r="A12" s="26"/>
      <c r="C12" s="33"/>
      <c r="D12" s="29"/>
      <c r="E12" s="29"/>
      <c r="F12" s="34"/>
      <c r="G12" s="34"/>
      <c r="H12" s="82"/>
      <c r="I12" s="5"/>
      <c r="J12" s="6"/>
      <c r="L12" s="82"/>
      <c r="M12" s="5"/>
      <c r="N12" s="6"/>
    </row>
    <row r="13" spans="1:14" x14ac:dyDescent="0.2">
      <c r="A13" s="50" t="s">
        <v>132</v>
      </c>
      <c r="C13" s="33"/>
      <c r="D13" s="29"/>
      <c r="E13" s="29"/>
      <c r="F13" s="34"/>
      <c r="G13" s="34"/>
      <c r="H13" s="82"/>
      <c r="I13" s="5"/>
      <c r="J13" s="6"/>
      <c r="L13" s="82"/>
      <c r="M13" s="5"/>
      <c r="N13" s="6"/>
    </row>
    <row r="14" spans="1:14" ht="13.5" hidden="1" thickBot="1" x14ac:dyDescent="0.25">
      <c r="A14" s="51" t="s">
        <v>28</v>
      </c>
      <c r="C14" s="143"/>
      <c r="D14" s="29"/>
      <c r="E14" s="13"/>
      <c r="F14" s="34"/>
      <c r="G14" s="34"/>
      <c r="H14" s="82"/>
      <c r="I14" s="5"/>
      <c r="J14" s="6"/>
      <c r="L14" s="82"/>
      <c r="M14" s="5"/>
      <c r="N14" s="6"/>
    </row>
    <row r="15" spans="1:14" ht="13.5" hidden="1" thickBot="1" x14ac:dyDescent="0.25">
      <c r="A15" s="26" t="s">
        <v>23</v>
      </c>
      <c r="C15" s="143" t="s">
        <v>127</v>
      </c>
      <c r="D15" s="142"/>
      <c r="E15" s="13">
        <f>-D15*0.35/52</f>
        <v>0</v>
      </c>
      <c r="F15" s="34"/>
      <c r="G15" s="34"/>
      <c r="H15" s="82"/>
      <c r="I15" s="5"/>
      <c r="J15" s="6"/>
      <c r="L15" s="82"/>
      <c r="M15" s="5"/>
      <c r="N15" s="6"/>
    </row>
    <row r="16" spans="1:14" ht="13.5" hidden="1" thickBot="1" x14ac:dyDescent="0.25">
      <c r="A16" s="26" t="s">
        <v>24</v>
      </c>
      <c r="C16" s="143" t="s">
        <v>128</v>
      </c>
      <c r="D16" s="142"/>
      <c r="E16" s="13">
        <f>-D16*0.35/52</f>
        <v>0</v>
      </c>
      <c r="F16" s="34"/>
      <c r="G16" s="34"/>
      <c r="H16" s="82"/>
      <c r="I16" s="5"/>
      <c r="J16" s="6"/>
      <c r="L16" s="82"/>
      <c r="M16" s="5"/>
      <c r="N16" s="6"/>
    </row>
    <row r="17" spans="1:14" ht="13.5" hidden="1" thickBot="1" x14ac:dyDescent="0.25">
      <c r="A17" s="26" t="s">
        <v>25</v>
      </c>
      <c r="C17" s="143" t="s">
        <v>128</v>
      </c>
      <c r="D17" s="142"/>
      <c r="E17" s="13">
        <f>-D17*0.35/52</f>
        <v>0</v>
      </c>
      <c r="F17" s="34"/>
      <c r="G17" s="34"/>
      <c r="H17" s="82"/>
      <c r="I17" s="5"/>
      <c r="J17" s="6"/>
      <c r="L17" s="82"/>
      <c r="M17" s="5"/>
      <c r="N17" s="6"/>
    </row>
    <row r="18" spans="1:14" ht="13.5" hidden="1" thickBot="1" x14ac:dyDescent="0.25">
      <c r="A18" s="26" t="s">
        <v>26</v>
      </c>
      <c r="C18" s="143"/>
      <c r="D18" s="142"/>
      <c r="E18" s="13">
        <f>-D18*0.35/52</f>
        <v>0</v>
      </c>
      <c r="F18" s="34"/>
      <c r="G18" s="34"/>
      <c r="H18" s="82"/>
      <c r="I18" s="5"/>
      <c r="J18" s="6"/>
      <c r="L18" s="82"/>
      <c r="M18" s="5"/>
      <c r="N18" s="6"/>
    </row>
    <row r="19" spans="1:14" ht="13.5" hidden="1" thickBot="1" x14ac:dyDescent="0.25">
      <c r="A19" s="26" t="s">
        <v>27</v>
      </c>
      <c r="C19" s="143"/>
      <c r="D19" s="142"/>
      <c r="E19" s="13">
        <f>-D19*0.35/52</f>
        <v>0</v>
      </c>
      <c r="F19" s="34"/>
      <c r="G19" s="34"/>
      <c r="H19" s="82"/>
      <c r="I19" s="5"/>
      <c r="J19" s="6"/>
      <c r="L19" s="82"/>
      <c r="M19" s="5"/>
      <c r="N19" s="6"/>
    </row>
    <row r="20" spans="1:14" hidden="1" x14ac:dyDescent="0.2">
      <c r="A20" s="26" t="s">
        <v>49</v>
      </c>
      <c r="C20" s="143"/>
      <c r="D20" s="29"/>
      <c r="E20" s="66">
        <f>-SUM(E14:E19)</f>
        <v>0</v>
      </c>
      <c r="F20" s="34"/>
      <c r="G20" s="34"/>
      <c r="H20" s="82"/>
      <c r="I20" s="5"/>
      <c r="J20" s="6"/>
      <c r="L20" s="82"/>
      <c r="M20" s="5"/>
      <c r="N20" s="6"/>
    </row>
    <row r="21" spans="1:14" ht="13.5" hidden="1" thickBot="1" x14ac:dyDescent="0.25">
      <c r="A21" s="51" t="s">
        <v>29</v>
      </c>
      <c r="C21" s="143"/>
      <c r="D21" s="29"/>
      <c r="E21" s="13"/>
      <c r="F21" s="34"/>
      <c r="G21" s="34"/>
      <c r="H21" s="82"/>
      <c r="I21" s="5"/>
      <c r="J21" s="6"/>
      <c r="L21" s="82"/>
      <c r="M21" s="5"/>
      <c r="N21" s="6"/>
    </row>
    <row r="22" spans="1:14" ht="13.5" hidden="1" thickBot="1" x14ac:dyDescent="0.25">
      <c r="A22" s="26" t="s">
        <v>30</v>
      </c>
      <c r="C22" s="143" t="s">
        <v>129</v>
      </c>
      <c r="D22" s="142"/>
      <c r="E22" s="13">
        <f>+D22/52</f>
        <v>0</v>
      </c>
      <c r="F22" s="34"/>
      <c r="G22" s="34"/>
      <c r="H22" s="82"/>
      <c r="I22" s="5"/>
      <c r="J22" s="6"/>
      <c r="L22" s="82"/>
      <c r="M22" s="5"/>
      <c r="N22" s="6"/>
    </row>
    <row r="23" spans="1:14" ht="13.5" hidden="1" thickBot="1" x14ac:dyDescent="0.25">
      <c r="A23" s="26" t="s">
        <v>31</v>
      </c>
      <c r="C23" s="143" t="s">
        <v>130</v>
      </c>
      <c r="D23" s="142"/>
      <c r="E23" s="13">
        <f>+D23/52</f>
        <v>0</v>
      </c>
      <c r="F23" s="34"/>
      <c r="G23" s="34"/>
      <c r="H23" s="82"/>
      <c r="I23" s="5"/>
      <c r="J23" s="6"/>
      <c r="L23" s="82"/>
      <c r="M23" s="5"/>
      <c r="N23" s="6"/>
    </row>
    <row r="24" spans="1:14" ht="13.5" hidden="1" thickBot="1" x14ac:dyDescent="0.25">
      <c r="A24" s="26" t="s">
        <v>126</v>
      </c>
      <c r="C24" s="143" t="s">
        <v>131</v>
      </c>
      <c r="D24" s="142"/>
      <c r="E24" s="13">
        <f>+D24*0.08/52</f>
        <v>0</v>
      </c>
      <c r="F24" s="34"/>
      <c r="G24" s="34"/>
      <c r="H24" s="82"/>
      <c r="I24" s="5"/>
      <c r="J24" s="6"/>
      <c r="L24" s="82"/>
      <c r="M24" s="5"/>
      <c r="N24" s="6"/>
    </row>
    <row r="25" spans="1:14" hidden="1" x14ac:dyDescent="0.2">
      <c r="A25" s="26"/>
      <c r="C25" s="33"/>
      <c r="D25" s="29"/>
      <c r="E25" s="67">
        <f>SUM(E22:E24)</f>
        <v>0</v>
      </c>
      <c r="F25" s="68">
        <f>+E20+E25</f>
        <v>0</v>
      </c>
      <c r="G25" s="34"/>
      <c r="H25" s="82"/>
      <c r="I25" s="5"/>
      <c r="J25" s="6"/>
      <c r="L25" s="82"/>
      <c r="M25" s="5"/>
      <c r="N25" s="6"/>
    </row>
    <row r="26" spans="1:14" hidden="1" x14ac:dyDescent="0.2">
      <c r="A26" s="26"/>
      <c r="C26" s="33">
        <f>SUM(C9:C24)</f>
        <v>850000</v>
      </c>
      <c r="D26" s="45">
        <f>+C26/12</f>
        <v>70833.333333333328</v>
      </c>
      <c r="E26" s="46">
        <f>+E9+E20+E25</f>
        <v>16346.153846153846</v>
      </c>
      <c r="F26" s="52">
        <f>SUM(F9:F25)</f>
        <v>16346.153846153846</v>
      </c>
      <c r="G26" s="34"/>
      <c r="H26" s="82"/>
      <c r="I26" s="5"/>
      <c r="J26" s="6"/>
      <c r="L26" s="82"/>
      <c r="M26" s="5"/>
      <c r="N26" s="6"/>
    </row>
    <row r="27" spans="1:14" hidden="1" x14ac:dyDescent="0.2">
      <c r="A27" s="26"/>
      <c r="C27" s="33"/>
      <c r="D27" s="15"/>
      <c r="E27" s="15"/>
      <c r="F27" s="52"/>
      <c r="G27" s="34"/>
      <c r="H27" s="82"/>
      <c r="I27" s="5"/>
      <c r="J27" s="6"/>
      <c r="L27" s="82"/>
      <c r="M27" s="5"/>
      <c r="N27" s="6"/>
    </row>
    <row r="28" spans="1:14" ht="4.5" customHeight="1" thickBot="1" x14ac:dyDescent="0.25">
      <c r="A28" s="26"/>
      <c r="C28" s="33"/>
      <c r="D28" s="15"/>
      <c r="E28" s="15"/>
      <c r="F28" s="52"/>
      <c r="G28" s="34"/>
      <c r="H28" s="82"/>
      <c r="I28" s="5"/>
      <c r="J28" s="6"/>
      <c r="L28" s="82"/>
      <c r="M28" s="5"/>
      <c r="N28" s="6"/>
    </row>
    <row r="29" spans="1:14" ht="27.75" thickBot="1" x14ac:dyDescent="0.25">
      <c r="A29" s="28" t="s">
        <v>133</v>
      </c>
      <c r="B29" s="8"/>
      <c r="C29" s="144">
        <v>10000</v>
      </c>
      <c r="D29" s="5"/>
      <c r="F29" s="49">
        <f>+F26-(C29/52)</f>
        <v>16153.846153846154</v>
      </c>
      <c r="H29" s="82"/>
      <c r="I29" s="5"/>
      <c r="J29" s="83">
        <f>IF(F29&gt;12500,12500,F29)</f>
        <v>12500</v>
      </c>
      <c r="L29" s="82"/>
      <c r="M29" s="5"/>
      <c r="N29" s="83">
        <f>+F29</f>
        <v>16153.846153846154</v>
      </c>
    </row>
    <row r="30" spans="1:14" ht="6" customHeight="1" thickBot="1" x14ac:dyDescent="0.25">
      <c r="A30" s="28"/>
      <c r="B30" s="8"/>
      <c r="C30" s="145"/>
      <c r="D30" s="5"/>
      <c r="F30" s="49"/>
      <c r="H30" s="82"/>
      <c r="I30" s="5"/>
      <c r="J30" s="146"/>
      <c r="L30" s="82"/>
      <c r="M30" s="5"/>
      <c r="N30" s="146"/>
    </row>
    <row r="31" spans="1:14" ht="13.5" thickBot="1" x14ac:dyDescent="0.25">
      <c r="A31" s="26"/>
      <c r="B31" s="8"/>
      <c r="C31" s="5"/>
      <c r="D31" s="5"/>
      <c r="E31" s="2" t="s">
        <v>135</v>
      </c>
      <c r="F31" s="147">
        <f>IF(F29&gt;3000,3000,F29)</f>
        <v>3000</v>
      </c>
      <c r="H31" s="82"/>
      <c r="I31" s="5"/>
      <c r="L31" s="82"/>
      <c r="M31" s="5"/>
    </row>
    <row r="32" spans="1:14" ht="4.5" customHeight="1" x14ac:dyDescent="0.2">
      <c r="A32" s="26"/>
      <c r="B32" s="8"/>
      <c r="C32" s="5"/>
      <c r="D32" s="5"/>
      <c r="F32" s="49"/>
      <c r="H32" s="82"/>
      <c r="I32" s="5"/>
      <c r="L32" s="82"/>
      <c r="M32" s="5"/>
    </row>
    <row r="33" spans="1:14" ht="15.75" x14ac:dyDescent="0.25">
      <c r="A33" s="28" t="s">
        <v>19</v>
      </c>
      <c r="B33" s="8"/>
      <c r="C33" s="4">
        <v>1</v>
      </c>
      <c r="D33" s="5"/>
      <c r="F33" s="49"/>
      <c r="H33" s="82"/>
      <c r="I33" s="5"/>
      <c r="J33" s="6"/>
      <c r="L33" s="82"/>
      <c r="M33" s="5"/>
      <c r="N33" s="6"/>
    </row>
    <row r="34" spans="1:14" x14ac:dyDescent="0.2">
      <c r="A34" s="7" t="s">
        <v>14</v>
      </c>
      <c r="B34" s="8"/>
      <c r="E34">
        <f>IF(C33=1,0.11)+IF(C33=2,0.14)+IF(C33&gt;2,0.16)</f>
        <v>0.11</v>
      </c>
      <c r="F34" s="36">
        <f>+F31*(1-E34)</f>
        <v>2670</v>
      </c>
      <c r="H34" s="82"/>
      <c r="I34" s="5"/>
      <c r="J34" s="84">
        <f>+J29*(1-E34)</f>
        <v>11125</v>
      </c>
      <c r="L34" s="82"/>
      <c r="M34" s="5"/>
      <c r="N34" s="84">
        <f>+N29*(1-E34)</f>
        <v>14376.923076923078</v>
      </c>
    </row>
    <row r="35" spans="1:14" x14ac:dyDescent="0.2">
      <c r="A35" s="26"/>
      <c r="B35" s="8"/>
      <c r="C35" s="5"/>
      <c r="D35" s="5"/>
      <c r="F35" s="49"/>
      <c r="H35" s="82"/>
      <c r="I35" s="5"/>
      <c r="J35" s="6"/>
      <c r="L35" s="82"/>
      <c r="M35" s="5"/>
      <c r="N35" s="6"/>
    </row>
    <row r="36" spans="1:14" x14ac:dyDescent="0.2">
      <c r="A36" s="2" t="s">
        <v>20</v>
      </c>
      <c r="C36" s="4">
        <v>3</v>
      </c>
      <c r="D36" s="12" t="s">
        <v>10</v>
      </c>
      <c r="E36" s="12" t="s">
        <v>11</v>
      </c>
      <c r="H36" s="82"/>
      <c r="I36" s="5"/>
      <c r="J36" s="6"/>
      <c r="L36" s="82"/>
      <c r="M36" s="5"/>
      <c r="N36" s="6"/>
    </row>
    <row r="37" spans="1:14" x14ac:dyDescent="0.2">
      <c r="A37" s="2"/>
      <c r="C37" s="57"/>
      <c r="D37" s="12"/>
      <c r="E37" s="12"/>
      <c r="H37" s="82"/>
      <c r="I37" s="5"/>
      <c r="J37" s="6"/>
      <c r="L37" s="82"/>
      <c r="M37" s="5"/>
      <c r="N37" s="6"/>
    </row>
    <row r="38" spans="1:14" ht="22.5" x14ac:dyDescent="0.2">
      <c r="A38" s="148" t="s">
        <v>44</v>
      </c>
      <c r="C38" s="58">
        <f>IF(F34&lt;200,F34,0)</f>
        <v>0</v>
      </c>
      <c r="D38" s="59"/>
      <c r="E38" s="59"/>
      <c r="F38" s="62">
        <f>IF(C38=0,0,IF(C38&gt;=0,7))</f>
        <v>0</v>
      </c>
      <c r="H38" s="82"/>
      <c r="I38" s="5"/>
      <c r="J38" s="6"/>
      <c r="L38" s="82"/>
      <c r="M38" s="5"/>
      <c r="N38" s="6"/>
    </row>
    <row r="39" spans="1:14" hidden="1" x14ac:dyDescent="0.2">
      <c r="A39" s="16" t="s">
        <v>38</v>
      </c>
      <c r="C39" s="58"/>
      <c r="D39" s="59"/>
      <c r="E39" s="59"/>
      <c r="H39" s="82"/>
      <c r="I39" s="5"/>
      <c r="J39" s="6"/>
      <c r="L39" s="82"/>
      <c r="M39" s="5"/>
      <c r="N39" s="6"/>
    </row>
    <row r="40" spans="1:14" hidden="1" x14ac:dyDescent="0.2">
      <c r="A40" s="26" t="s">
        <v>36</v>
      </c>
      <c r="C40" s="60">
        <f>IF(C38&lt;100,0,(C38-100))</f>
        <v>0</v>
      </c>
      <c r="D40" s="59"/>
      <c r="E40" s="59"/>
      <c r="F40" s="16"/>
      <c r="H40" s="82"/>
      <c r="I40" s="5"/>
      <c r="J40" s="6"/>
      <c r="L40" s="82"/>
      <c r="M40" s="5"/>
      <c r="N40" s="6"/>
    </row>
    <row r="41" spans="1:14" hidden="1" x14ac:dyDescent="0.2">
      <c r="A41" s="26" t="s">
        <v>37</v>
      </c>
      <c r="C41" s="57">
        <f>IF(C36=1,0.17,0)</f>
        <v>0</v>
      </c>
      <c r="D41" s="12"/>
      <c r="E41" s="12"/>
      <c r="F41" s="64">
        <f>+C40*C41</f>
        <v>0</v>
      </c>
      <c r="H41" s="82"/>
      <c r="I41" s="5"/>
      <c r="J41" s="6"/>
      <c r="L41" s="82"/>
      <c r="M41" s="5"/>
      <c r="N41" s="6"/>
    </row>
    <row r="42" spans="1:14" hidden="1" x14ac:dyDescent="0.2">
      <c r="A42" s="2"/>
      <c r="C42" s="57">
        <f>IF(C36=2,0.25,0)</f>
        <v>0</v>
      </c>
      <c r="D42" s="12"/>
      <c r="E42" s="12"/>
      <c r="F42" s="64">
        <f>+C40*C42</f>
        <v>0</v>
      </c>
      <c r="H42" s="82"/>
      <c r="I42" s="5"/>
      <c r="J42" s="6"/>
      <c r="L42" s="82"/>
      <c r="M42" s="5"/>
      <c r="N42" s="6"/>
    </row>
    <row r="43" spans="1:14" hidden="1" x14ac:dyDescent="0.2">
      <c r="A43" s="2"/>
      <c r="C43" s="57">
        <f>IF(C36&gt;2,0.31,0)</f>
        <v>0.31</v>
      </c>
      <c r="D43" s="12"/>
      <c r="E43" s="12"/>
      <c r="F43" s="64">
        <f>+C40*C43</f>
        <v>0</v>
      </c>
      <c r="H43" s="82"/>
      <c r="I43" s="5"/>
      <c r="J43" s="6"/>
      <c r="L43" s="82"/>
      <c r="M43" s="5"/>
      <c r="N43" s="6"/>
    </row>
    <row r="44" spans="1:14" hidden="1" x14ac:dyDescent="0.2">
      <c r="A44" s="26" t="s">
        <v>43</v>
      </c>
      <c r="C44" s="57"/>
      <c r="D44" s="12"/>
      <c r="E44" s="12"/>
      <c r="F44" s="64"/>
      <c r="H44" s="82"/>
      <c r="I44" s="5"/>
      <c r="J44" s="6"/>
      <c r="L44" s="82"/>
      <c r="M44" s="5"/>
      <c r="N44" s="6"/>
    </row>
    <row r="45" spans="1:14" x14ac:dyDescent="0.2">
      <c r="C45" s="57"/>
      <c r="D45" s="61" t="s">
        <v>39</v>
      </c>
      <c r="E45" s="61" t="s">
        <v>40</v>
      </c>
      <c r="H45" s="82"/>
      <c r="I45" s="5"/>
      <c r="J45" s="6"/>
      <c r="L45" s="82"/>
      <c r="M45" s="5"/>
      <c r="N45" s="6"/>
    </row>
    <row r="46" spans="1:14" x14ac:dyDescent="0.2">
      <c r="A46" s="26" t="s">
        <v>18</v>
      </c>
      <c r="D46">
        <f>IF(C36=1,0.12)+IF(C36=2,0.16)+IF(C36&gt;2,0.19)</f>
        <v>0.19</v>
      </c>
      <c r="E46">
        <f>IF(C36=1,0.09)+IF(C36=2,0.12)+IF(C36&gt;2,0.15)</f>
        <v>0.15</v>
      </c>
      <c r="F46">
        <f>IF(F34&lt;200,0,F34)</f>
        <v>2670</v>
      </c>
      <c r="H46" s="82"/>
      <c r="I46" s="5"/>
      <c r="J46" s="6"/>
      <c r="L46" s="82"/>
      <c r="M46" s="5"/>
      <c r="N46" s="6"/>
    </row>
    <row r="47" spans="1:14" x14ac:dyDescent="0.2">
      <c r="A47" s="42" t="s">
        <v>16</v>
      </c>
      <c r="C47" s="31"/>
      <c r="D47" s="17">
        <f>IF(F46&lt;800,F46,800)</f>
        <v>800</v>
      </c>
      <c r="E47" s="17">
        <f>IF(F46&gt;800,(F46-800),0)</f>
        <v>1870</v>
      </c>
      <c r="F47" s="42" t="s">
        <v>17</v>
      </c>
      <c r="H47" s="90">
        <f>IF(J34&lt;800,J34,800)</f>
        <v>800</v>
      </c>
      <c r="I47" s="15">
        <f>IF(J34&gt;800,(J34-800),0)</f>
        <v>10325</v>
      </c>
      <c r="J47" s="6"/>
      <c r="L47" s="90">
        <f>IF(N34&lt;800,N34,800)</f>
        <v>800</v>
      </c>
      <c r="M47" s="15">
        <f>IF(N34&gt;800,(N34-800),0)</f>
        <v>13576.923076923078</v>
      </c>
      <c r="N47" s="6"/>
    </row>
    <row r="48" spans="1:14" x14ac:dyDescent="0.2">
      <c r="A48" s="42" t="s">
        <v>41</v>
      </c>
      <c r="C48" s="31"/>
      <c r="D48" s="8">
        <f>+D47*D46</f>
        <v>152</v>
      </c>
      <c r="E48" s="36">
        <f>+E47*E46</f>
        <v>280.5</v>
      </c>
      <c r="F48" s="36">
        <f>SUM(D48:E48)</f>
        <v>432.5</v>
      </c>
      <c r="H48" s="91">
        <f>+H47*D46</f>
        <v>152</v>
      </c>
      <c r="I48" s="14">
        <f>+I47*E46</f>
        <v>1548.75</v>
      </c>
      <c r="J48" s="6"/>
      <c r="L48" s="91">
        <f>+L47*D46</f>
        <v>152</v>
      </c>
      <c r="M48" s="14">
        <f>+M47*E46</f>
        <v>2036.5384615384617</v>
      </c>
      <c r="N48" s="6"/>
    </row>
    <row r="49" spans="1:14" x14ac:dyDescent="0.2">
      <c r="A49" s="26" t="s">
        <v>42</v>
      </c>
      <c r="F49" s="63">
        <f>SUM(F38:F48)-F46</f>
        <v>432.5</v>
      </c>
      <c r="H49" s="82"/>
      <c r="I49" s="5"/>
      <c r="J49" s="84">
        <f>SUM(H48:I48)</f>
        <v>1700.75</v>
      </c>
      <c r="L49" s="82"/>
      <c r="M49" s="5"/>
      <c r="N49" s="84">
        <f>SUM(L48:M48)</f>
        <v>2188.5384615384619</v>
      </c>
    </row>
    <row r="50" spans="1:14" ht="15.75" x14ac:dyDescent="0.25">
      <c r="A50" s="2" t="s">
        <v>45</v>
      </c>
      <c r="C50" s="20"/>
      <c r="D50" s="18"/>
      <c r="E50" s="19"/>
      <c r="H50" s="82"/>
      <c r="I50" s="5"/>
      <c r="J50" s="6"/>
      <c r="L50" s="82"/>
      <c r="M50" s="5"/>
      <c r="N50" s="6"/>
    </row>
    <row r="51" spans="1:14" x14ac:dyDescent="0.2">
      <c r="A51" s="7" t="s">
        <v>9</v>
      </c>
      <c r="C51" s="21">
        <v>0</v>
      </c>
      <c r="D51" s="5"/>
      <c r="E51" s="6"/>
      <c r="H51" s="82"/>
      <c r="I51" s="5"/>
      <c r="J51" s="6"/>
      <c r="L51" s="82"/>
      <c r="M51" s="5"/>
      <c r="N51" s="6"/>
    </row>
    <row r="52" spans="1:14" x14ac:dyDescent="0.2">
      <c r="A52" s="7" t="s">
        <v>4</v>
      </c>
      <c r="C52" s="21">
        <v>0</v>
      </c>
      <c r="D52" s="5"/>
      <c r="E52" s="6"/>
      <c r="H52" s="82"/>
      <c r="I52" s="5"/>
      <c r="J52" s="6"/>
      <c r="L52" s="82"/>
      <c r="M52" s="5"/>
      <c r="N52" s="6"/>
    </row>
    <row r="53" spans="1:14" x14ac:dyDescent="0.2">
      <c r="A53" s="42" t="s">
        <v>5</v>
      </c>
      <c r="B53" s="8">
        <f>+(365-C52)/7</f>
        <v>52.142857142857146</v>
      </c>
      <c r="C53" s="37">
        <f>+(C51*B53/2)+C52</f>
        <v>0</v>
      </c>
      <c r="D53" s="38"/>
      <c r="E53" s="39"/>
      <c r="H53" s="82"/>
      <c r="I53" s="5"/>
      <c r="J53" s="6"/>
      <c r="L53" s="82"/>
      <c r="M53" s="5"/>
      <c r="N53" s="6"/>
    </row>
    <row r="54" spans="1:14" x14ac:dyDescent="0.2">
      <c r="A54" s="42" t="s">
        <v>6</v>
      </c>
      <c r="C54" s="40"/>
      <c r="D54" s="41"/>
      <c r="E54" s="47">
        <f>IF(C53&gt;51, 0.143, 0)+IF(C53&gt;103, 0.143, 0)+IF(C53&gt;155, 0.143, 0)+IF(C53&gt;181, 0.071)</f>
        <v>0</v>
      </c>
      <c r="F54" s="36">
        <f>+F49*(1-E54)</f>
        <v>432.5</v>
      </c>
      <c r="H54" s="82"/>
      <c r="I54" s="5"/>
      <c r="J54" s="84">
        <f>+J49*(1-E54)</f>
        <v>1700.75</v>
      </c>
      <c r="L54" s="82"/>
      <c r="M54" s="5"/>
      <c r="N54" s="84">
        <f>+N49*(1-E54)</f>
        <v>2188.5384615384619</v>
      </c>
    </row>
    <row r="55" spans="1:14" x14ac:dyDescent="0.2">
      <c r="A55" s="2"/>
      <c r="C55" s="17"/>
      <c r="D55" s="17"/>
      <c r="E55" s="27"/>
      <c r="H55" s="82"/>
      <c r="I55" s="5"/>
      <c r="J55" s="6"/>
      <c r="L55" s="82"/>
      <c r="M55" s="5"/>
      <c r="N55" s="6"/>
    </row>
    <row r="56" spans="1:14" x14ac:dyDescent="0.2">
      <c r="A56" s="65" t="s">
        <v>7</v>
      </c>
      <c r="C56" s="9" t="s">
        <v>0</v>
      </c>
      <c r="D56" s="10" t="s">
        <v>1</v>
      </c>
      <c r="E56" s="11" t="s">
        <v>2</v>
      </c>
      <c r="H56" s="9" t="s">
        <v>0</v>
      </c>
      <c r="I56" s="10" t="s">
        <v>1</v>
      </c>
      <c r="J56" s="11" t="s">
        <v>2</v>
      </c>
      <c r="L56" s="9" t="s">
        <v>0</v>
      </c>
      <c r="M56" s="10" t="s">
        <v>1</v>
      </c>
      <c r="N56" s="11" t="s">
        <v>2</v>
      </c>
    </row>
    <row r="57" spans="1:14" x14ac:dyDescent="0.2">
      <c r="A57" s="26"/>
      <c r="C57" s="23">
        <f>+E57*52</f>
        <v>22490</v>
      </c>
      <c r="D57" s="24">
        <f>+C57/12</f>
        <v>1874.1666666666667</v>
      </c>
      <c r="E57" s="25">
        <f>+F54</f>
        <v>432.5</v>
      </c>
      <c r="H57" s="85">
        <f>+J57*52</f>
        <v>88439</v>
      </c>
      <c r="I57" s="86">
        <f>+H57/12</f>
        <v>7369.916666666667</v>
      </c>
      <c r="J57" s="87">
        <f>+J54</f>
        <v>1700.75</v>
      </c>
      <c r="L57" s="85">
        <f>+N57*52</f>
        <v>113804.00000000001</v>
      </c>
      <c r="M57" s="86">
        <f>+L57/12</f>
        <v>9483.6666666666679</v>
      </c>
      <c r="N57" s="87">
        <f>+N54</f>
        <v>2188.5384615384619</v>
      </c>
    </row>
    <row r="58" spans="1:14" hidden="1" x14ac:dyDescent="0.2">
      <c r="A58" s="42"/>
      <c r="C58" s="17">
        <f>IF(C53=0,C57,0)</f>
        <v>22490</v>
      </c>
      <c r="D58" s="17">
        <f>IF(C53=0,D57,0)</f>
        <v>1874.1666666666667</v>
      </c>
      <c r="E58" s="17">
        <f>IF(C53=0,E57,0)</f>
        <v>432.5</v>
      </c>
      <c r="H58" s="82"/>
      <c r="I58" s="5"/>
      <c r="J58" s="6"/>
      <c r="L58" s="82"/>
      <c r="M58" s="5"/>
      <c r="N58" s="6"/>
    </row>
    <row r="59" spans="1:14" x14ac:dyDescent="0.2">
      <c r="A59" s="81" t="s">
        <v>50</v>
      </c>
      <c r="C59" s="17"/>
      <c r="D59" s="17"/>
      <c r="E59" s="17"/>
      <c r="H59" s="82"/>
      <c r="I59" s="5"/>
      <c r="J59" s="6"/>
      <c r="L59" s="82"/>
      <c r="M59" s="5"/>
      <c r="N59" s="6"/>
    </row>
    <row r="60" spans="1:14" x14ac:dyDescent="0.2">
      <c r="A60" s="69" t="s">
        <v>46</v>
      </c>
      <c r="B60" s="70">
        <f>6/7</f>
        <v>0.8571428571428571</v>
      </c>
      <c r="C60" s="71">
        <f>+C58*$B$60</f>
        <v>19277.142857142855</v>
      </c>
      <c r="D60" s="71">
        <f>+D58*$B$60</f>
        <v>1606.4285714285713</v>
      </c>
      <c r="E60" s="72">
        <f>+E58*$B$60</f>
        <v>370.71428571428567</v>
      </c>
      <c r="H60" s="92">
        <f t="shared" ref="H60:H62" si="0">+J60*52</f>
        <v>75804.857142857145</v>
      </c>
      <c r="I60" s="89">
        <f t="shared" ref="I60:I62" si="1">+H60/12</f>
        <v>6317.0714285714284</v>
      </c>
      <c r="J60" s="72">
        <f>+J57*$B$60</f>
        <v>1457.7857142857142</v>
      </c>
      <c r="L60" s="92">
        <f t="shared" ref="L60:L62" si="2">+N60*52</f>
        <v>97546.285714285725</v>
      </c>
      <c r="M60" s="89">
        <f t="shared" ref="M60:M62" si="3">+L60/12</f>
        <v>8128.857142857144</v>
      </c>
      <c r="N60" s="72">
        <f>+N57*$B$60</f>
        <v>1875.8901098901101</v>
      </c>
    </row>
    <row r="61" spans="1:14" x14ac:dyDescent="0.2">
      <c r="A61" s="73" t="s">
        <v>47</v>
      </c>
      <c r="B61" s="74">
        <f>5/7</f>
        <v>0.7142857142857143</v>
      </c>
      <c r="C61" s="75">
        <f>+C58*$B$61</f>
        <v>16064.285714285714</v>
      </c>
      <c r="D61" s="75">
        <f>+D58*$B$61</f>
        <v>1338.6904761904764</v>
      </c>
      <c r="E61" s="76">
        <f>+E58*$B$61</f>
        <v>308.92857142857144</v>
      </c>
      <c r="H61" s="92">
        <f t="shared" si="0"/>
        <v>63170.71428571429</v>
      </c>
      <c r="I61" s="89">
        <f t="shared" si="1"/>
        <v>5264.2261904761908</v>
      </c>
      <c r="J61" s="76">
        <f>+J57*$B$61</f>
        <v>1214.8214285714287</v>
      </c>
      <c r="L61" s="92">
        <f t="shared" si="2"/>
        <v>81288.571428571449</v>
      </c>
      <c r="M61" s="89">
        <f t="shared" si="3"/>
        <v>6774.0476190476211</v>
      </c>
      <c r="N61" s="76">
        <f>+N57*$B$61</f>
        <v>1563.2417582417586</v>
      </c>
    </row>
    <row r="62" spans="1:14" x14ac:dyDescent="0.2">
      <c r="A62" s="73" t="s">
        <v>48</v>
      </c>
      <c r="B62" s="74">
        <f>4/7</f>
        <v>0.5714285714285714</v>
      </c>
      <c r="C62" s="75">
        <f>+C58*$B$62</f>
        <v>12851.428571428571</v>
      </c>
      <c r="D62" s="75">
        <f>+D58*$B$62</f>
        <v>1070.952380952381</v>
      </c>
      <c r="E62" s="76">
        <f>+E58*$B$62</f>
        <v>247.14285714285714</v>
      </c>
      <c r="H62" s="92">
        <f t="shared" si="0"/>
        <v>50536.571428571428</v>
      </c>
      <c r="I62" s="89">
        <f t="shared" si="1"/>
        <v>4211.3809523809523</v>
      </c>
      <c r="J62" s="76">
        <f>+J57*$B$62</f>
        <v>971.85714285714278</v>
      </c>
      <c r="L62" s="92">
        <f t="shared" si="2"/>
        <v>65030.857142857152</v>
      </c>
      <c r="M62" s="89">
        <f t="shared" si="3"/>
        <v>5419.2380952380963</v>
      </c>
      <c r="N62" s="76">
        <f>+N57*$B$62</f>
        <v>1250.5934065934068</v>
      </c>
    </row>
    <row r="63" spans="1:14" x14ac:dyDescent="0.2">
      <c r="A63" s="77" t="s">
        <v>51</v>
      </c>
      <c r="B63" s="88">
        <f>+E58/2-7</f>
        <v>209.25</v>
      </c>
      <c r="C63" s="89">
        <f>+E63*52</f>
        <v>10881</v>
      </c>
      <c r="D63" s="89">
        <f>+C63/12</f>
        <v>906.75</v>
      </c>
      <c r="E63" s="89">
        <f>IF($B$63&lt;8,0,$B$63)</f>
        <v>209.25</v>
      </c>
      <c r="F63" s="57"/>
      <c r="G63" s="57"/>
      <c r="H63" s="92">
        <f>+J63*52</f>
        <v>10881</v>
      </c>
      <c r="I63" s="89">
        <f>+H63/12</f>
        <v>906.75</v>
      </c>
      <c r="J63" s="88">
        <f>IF($B$63&lt;8,0,$B$63)</f>
        <v>209.25</v>
      </c>
      <c r="L63" s="92">
        <f>+N63*52</f>
        <v>10881</v>
      </c>
      <c r="M63" s="89">
        <f>+L63/12</f>
        <v>906.75</v>
      </c>
      <c r="N63" s="88">
        <f>IF($B$63&lt;8,0,$B$63)</f>
        <v>209.25</v>
      </c>
    </row>
    <row r="64" spans="1:14" ht="6.75" customHeight="1" x14ac:dyDescent="0.2">
      <c r="A64" s="78"/>
      <c r="B64" s="79"/>
      <c r="C64" s="80"/>
      <c r="D64" s="80"/>
      <c r="E64" s="80"/>
      <c r="J64" s="5"/>
      <c r="N64" s="5"/>
    </row>
    <row r="65" spans="1:1" x14ac:dyDescent="0.2">
      <c r="A65" s="30" t="s">
        <v>21</v>
      </c>
    </row>
    <row r="66" spans="1:1" ht="18.75" x14ac:dyDescent="0.2">
      <c r="A66" s="139" t="s">
        <v>125</v>
      </c>
    </row>
  </sheetData>
  <mergeCells count="3">
    <mergeCell ref="C1:E1"/>
    <mergeCell ref="H1:J1"/>
    <mergeCell ref="L1:N1"/>
  </mergeCells>
  <phoneticPr fontId="0" type="noConversion"/>
  <printOptions headings="1" gridLines="1"/>
  <pageMargins left="0.25" right="0.25" top="0.75" bottom="0.75" header="0.3" footer="0.3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0955-5E67-4149-92D4-B40E559420DE}">
  <dimension ref="B5:N69"/>
  <sheetViews>
    <sheetView topLeftCell="A40" workbookViewId="0">
      <selection activeCell="L43" sqref="L43"/>
    </sheetView>
  </sheetViews>
  <sheetFormatPr defaultRowHeight="12.75" x14ac:dyDescent="0.2"/>
  <cols>
    <col min="6" max="6" width="3" customWidth="1"/>
    <col min="12" max="12" width="11.5703125" customWidth="1"/>
    <col min="14" max="14" width="2" customWidth="1"/>
  </cols>
  <sheetData>
    <row r="5" spans="2:14" ht="35.25" customHeight="1" x14ac:dyDescent="0.2">
      <c r="B5" s="222" t="s">
        <v>137</v>
      </c>
      <c r="C5" s="222"/>
      <c r="D5" s="222"/>
      <c r="E5" s="222"/>
      <c r="G5" s="223" t="s">
        <v>138</v>
      </c>
      <c r="H5" s="223"/>
      <c r="I5" s="223"/>
      <c r="J5" s="223"/>
      <c r="K5" s="223"/>
      <c r="L5" s="223"/>
      <c r="M5" s="223"/>
    </row>
    <row r="6" spans="2:14" ht="15" customHeight="1" x14ac:dyDescent="0.25">
      <c r="B6" s="149"/>
      <c r="C6" s="149"/>
      <c r="D6" s="149"/>
      <c r="E6" s="149"/>
    </row>
    <row r="7" spans="2:14" ht="35.25" customHeight="1" x14ac:dyDescent="0.25">
      <c r="B7" s="149"/>
      <c r="C7" s="149"/>
      <c r="D7" s="149"/>
      <c r="E7" s="149"/>
      <c r="G7" s="224" t="s">
        <v>139</v>
      </c>
      <c r="H7" s="225"/>
      <c r="I7" s="225"/>
      <c r="K7" s="226" t="s">
        <v>140</v>
      </c>
      <c r="L7" s="226"/>
      <c r="M7" s="226"/>
    </row>
    <row r="15" spans="2:14" x14ac:dyDescent="0.2">
      <c r="F15" s="20"/>
      <c r="G15" s="18"/>
      <c r="H15" s="18"/>
      <c r="I15" s="18"/>
      <c r="J15" s="18"/>
      <c r="K15" s="18"/>
      <c r="L15" s="18"/>
      <c r="M15" s="18"/>
      <c r="N15" s="19"/>
    </row>
    <row r="16" spans="2:14" x14ac:dyDescent="0.2">
      <c r="F16" s="82"/>
      <c r="G16" s="20"/>
      <c r="H16" s="18"/>
      <c r="I16" s="19"/>
      <c r="K16" s="20"/>
      <c r="L16" s="18"/>
      <c r="M16" s="19"/>
      <c r="N16" s="6"/>
    </row>
    <row r="17" spans="6:14" x14ac:dyDescent="0.2">
      <c r="F17" s="82"/>
      <c r="G17" s="82"/>
      <c r="I17" s="6"/>
      <c r="K17" s="82"/>
      <c r="M17" s="6"/>
      <c r="N17" s="6"/>
    </row>
    <row r="18" spans="6:14" x14ac:dyDescent="0.2">
      <c r="F18" s="82"/>
      <c r="G18" s="82"/>
      <c r="I18" s="6"/>
      <c r="K18" s="82"/>
      <c r="M18" s="6"/>
      <c r="N18" s="6"/>
    </row>
    <row r="19" spans="6:14" x14ac:dyDescent="0.2">
      <c r="F19" s="82"/>
      <c r="G19" s="82"/>
      <c r="I19" s="6"/>
      <c r="K19" s="82"/>
      <c r="M19" s="6"/>
      <c r="N19" s="6"/>
    </row>
    <row r="20" spans="6:14" x14ac:dyDescent="0.2">
      <c r="F20" s="82"/>
      <c r="G20" s="82"/>
      <c r="I20" s="6"/>
      <c r="K20" s="82"/>
      <c r="M20" s="6"/>
      <c r="N20" s="6"/>
    </row>
    <row r="21" spans="6:14" x14ac:dyDescent="0.2">
      <c r="F21" s="82"/>
      <c r="G21" s="82"/>
      <c r="I21" s="6"/>
      <c r="K21" s="82"/>
      <c r="M21" s="6"/>
      <c r="N21" s="6"/>
    </row>
    <row r="22" spans="6:14" x14ac:dyDescent="0.2">
      <c r="F22" s="82"/>
      <c r="G22" s="82"/>
      <c r="I22" s="6"/>
      <c r="K22" s="82"/>
      <c r="M22" s="6"/>
      <c r="N22" s="6"/>
    </row>
    <row r="23" spans="6:14" x14ac:dyDescent="0.2">
      <c r="F23" s="82"/>
      <c r="G23" s="82"/>
      <c r="I23" s="6"/>
      <c r="K23" s="82"/>
      <c r="M23" s="6"/>
      <c r="N23" s="6"/>
    </row>
    <row r="24" spans="6:14" x14ac:dyDescent="0.2">
      <c r="F24" s="82"/>
      <c r="G24" s="82"/>
      <c r="I24" s="6"/>
      <c r="K24" s="82"/>
      <c r="M24" s="6"/>
      <c r="N24" s="6"/>
    </row>
    <row r="25" spans="6:14" x14ac:dyDescent="0.2">
      <c r="F25" s="82"/>
      <c r="G25" s="82"/>
      <c r="I25" s="6"/>
      <c r="K25" s="82"/>
      <c r="M25" s="6"/>
      <c r="N25" s="6"/>
    </row>
    <row r="26" spans="6:14" x14ac:dyDescent="0.2">
      <c r="F26" s="82"/>
      <c r="G26" s="82"/>
      <c r="I26" s="6"/>
      <c r="K26" s="82"/>
      <c r="M26" s="6"/>
      <c r="N26" s="6"/>
    </row>
    <row r="27" spans="6:14" x14ac:dyDescent="0.2">
      <c r="F27" s="82"/>
      <c r="G27" s="82"/>
      <c r="I27" s="6"/>
      <c r="K27" s="82"/>
      <c r="M27" s="6"/>
      <c r="N27" s="6"/>
    </row>
    <row r="28" spans="6:14" x14ac:dyDescent="0.2">
      <c r="F28" s="82"/>
      <c r="G28" s="82"/>
      <c r="I28" s="6"/>
      <c r="K28" s="82"/>
      <c r="M28" s="6"/>
      <c r="N28" s="6"/>
    </row>
    <row r="29" spans="6:14" x14ac:dyDescent="0.2">
      <c r="F29" s="82"/>
      <c r="G29" s="82"/>
      <c r="I29" s="6"/>
      <c r="K29" s="82"/>
      <c r="M29" s="6"/>
      <c r="N29" s="6"/>
    </row>
    <row r="30" spans="6:14" x14ac:dyDescent="0.2">
      <c r="F30" s="82"/>
      <c r="G30" s="82"/>
      <c r="I30" s="6"/>
      <c r="K30" s="82"/>
      <c r="M30" s="6"/>
      <c r="N30" s="6"/>
    </row>
    <row r="31" spans="6:14" x14ac:dyDescent="0.2">
      <c r="F31" s="82"/>
      <c r="G31" s="82"/>
      <c r="I31" s="6"/>
      <c r="K31" s="82"/>
      <c r="M31" s="6"/>
      <c r="N31" s="6"/>
    </row>
    <row r="32" spans="6:14" x14ac:dyDescent="0.2">
      <c r="F32" s="82"/>
      <c r="G32" s="82"/>
      <c r="I32" s="6"/>
      <c r="K32" s="82"/>
      <c r="M32" s="6"/>
      <c r="N32" s="6"/>
    </row>
    <row r="33" spans="6:14" x14ac:dyDescent="0.2">
      <c r="F33" s="82"/>
      <c r="G33" s="82"/>
      <c r="I33" s="6"/>
      <c r="K33" s="82"/>
      <c r="M33" s="6"/>
      <c r="N33" s="6"/>
    </row>
    <row r="34" spans="6:14" x14ac:dyDescent="0.2">
      <c r="F34" s="82"/>
      <c r="G34" s="82"/>
      <c r="I34" s="6"/>
      <c r="K34" s="82"/>
      <c r="M34" s="6"/>
      <c r="N34" s="6"/>
    </row>
    <row r="35" spans="6:14" x14ac:dyDescent="0.2">
      <c r="F35" s="82"/>
      <c r="G35" s="82"/>
      <c r="I35" s="6"/>
      <c r="K35" s="82"/>
      <c r="M35" s="6"/>
      <c r="N35" s="6"/>
    </row>
    <row r="36" spans="6:14" x14ac:dyDescent="0.2">
      <c r="F36" s="82"/>
      <c r="G36" s="82"/>
      <c r="I36" s="6"/>
      <c r="K36" s="82"/>
      <c r="M36" s="6"/>
      <c r="N36" s="6"/>
    </row>
    <row r="37" spans="6:14" x14ac:dyDescent="0.2">
      <c r="F37" s="82"/>
      <c r="G37" s="82"/>
      <c r="I37" s="6"/>
      <c r="K37" s="82"/>
      <c r="M37" s="6"/>
      <c r="N37" s="6"/>
    </row>
    <row r="38" spans="6:14" x14ac:dyDescent="0.2">
      <c r="F38" s="82"/>
      <c r="G38" s="82"/>
      <c r="I38" s="6"/>
      <c r="K38" s="82"/>
      <c r="M38" s="6"/>
      <c r="N38" s="6"/>
    </row>
    <row r="39" spans="6:14" x14ac:dyDescent="0.2">
      <c r="F39" s="82"/>
      <c r="G39" s="150"/>
      <c r="H39" s="151"/>
      <c r="I39" s="152"/>
      <c r="K39" s="82"/>
      <c r="M39" s="6"/>
      <c r="N39" s="6"/>
    </row>
    <row r="40" spans="6:14" x14ac:dyDescent="0.2">
      <c r="F40" s="82"/>
      <c r="K40" s="82"/>
      <c r="M40" s="6"/>
      <c r="N40" s="6"/>
    </row>
    <row r="41" spans="6:14" x14ac:dyDescent="0.2">
      <c r="F41" s="82"/>
      <c r="K41" s="82"/>
      <c r="M41" s="6"/>
      <c r="N41" s="6"/>
    </row>
    <row r="42" spans="6:14" x14ac:dyDescent="0.2">
      <c r="F42" s="82"/>
      <c r="K42" s="82"/>
      <c r="M42" s="6"/>
      <c r="N42" s="6"/>
    </row>
    <row r="43" spans="6:14" x14ac:dyDescent="0.2">
      <c r="F43" s="82"/>
      <c r="K43" s="82"/>
      <c r="M43" s="6"/>
      <c r="N43" s="6"/>
    </row>
    <row r="44" spans="6:14" x14ac:dyDescent="0.2">
      <c r="F44" s="82"/>
      <c r="K44" s="82"/>
      <c r="M44" s="6"/>
      <c r="N44" s="6"/>
    </row>
    <row r="45" spans="6:14" x14ac:dyDescent="0.2">
      <c r="F45" s="82"/>
      <c r="K45" s="82"/>
      <c r="M45" s="6"/>
      <c r="N45" s="6"/>
    </row>
    <row r="46" spans="6:14" x14ac:dyDescent="0.2">
      <c r="F46" s="82"/>
      <c r="K46" s="82"/>
      <c r="M46" s="6"/>
      <c r="N46" s="6"/>
    </row>
    <row r="47" spans="6:14" x14ac:dyDescent="0.2">
      <c r="F47" s="82"/>
      <c r="K47" s="82"/>
      <c r="M47" s="6"/>
      <c r="N47" s="6"/>
    </row>
    <row r="48" spans="6:14" x14ac:dyDescent="0.2">
      <c r="F48" s="82"/>
      <c r="K48" s="82"/>
      <c r="M48" s="6"/>
      <c r="N48" s="6"/>
    </row>
    <row r="49" spans="2:14" x14ac:dyDescent="0.2">
      <c r="F49" s="82"/>
      <c r="K49" s="82"/>
      <c r="M49" s="6"/>
      <c r="N49" s="6"/>
    </row>
    <row r="50" spans="2:14" x14ac:dyDescent="0.2">
      <c r="F50" s="82"/>
      <c r="K50" s="82"/>
      <c r="M50" s="6"/>
      <c r="N50" s="6"/>
    </row>
    <row r="51" spans="2:14" x14ac:dyDescent="0.2">
      <c r="F51" s="82"/>
      <c r="K51" s="82"/>
      <c r="M51" s="6"/>
      <c r="N51" s="6"/>
    </row>
    <row r="52" spans="2:14" x14ac:dyDescent="0.2">
      <c r="F52" s="82"/>
      <c r="K52" s="82"/>
      <c r="M52" s="6"/>
      <c r="N52" s="6"/>
    </row>
    <row r="53" spans="2:14" x14ac:dyDescent="0.2">
      <c r="F53" s="82"/>
      <c r="K53" s="82"/>
      <c r="M53" s="6"/>
      <c r="N53" s="6"/>
    </row>
    <row r="54" spans="2:14" x14ac:dyDescent="0.2">
      <c r="F54" s="82"/>
      <c r="K54" s="82"/>
      <c r="M54" s="6"/>
      <c r="N54" s="6"/>
    </row>
    <row r="55" spans="2:14" x14ac:dyDescent="0.2">
      <c r="F55" s="82"/>
      <c r="K55" s="82"/>
      <c r="M55" s="6"/>
      <c r="N55" s="6"/>
    </row>
    <row r="56" spans="2:14" x14ac:dyDescent="0.2">
      <c r="F56" s="82"/>
      <c r="K56" s="82"/>
      <c r="M56" s="6"/>
      <c r="N56" s="6"/>
    </row>
    <row r="57" spans="2:14" x14ac:dyDescent="0.2">
      <c r="F57" s="82"/>
      <c r="K57" s="82"/>
      <c r="M57" s="6"/>
      <c r="N57" s="6"/>
    </row>
    <row r="58" spans="2:14" x14ac:dyDescent="0.2">
      <c r="F58" s="82"/>
      <c r="K58" s="82"/>
      <c r="M58" s="6"/>
      <c r="N58" s="6"/>
    </row>
    <row r="59" spans="2:14" x14ac:dyDescent="0.2">
      <c r="F59" s="82"/>
      <c r="K59" s="82"/>
      <c r="M59" s="6"/>
      <c r="N59" s="6"/>
    </row>
    <row r="60" spans="2:14" ht="15" x14ac:dyDescent="0.2">
      <c r="B60" s="153" t="s">
        <v>141</v>
      </c>
      <c r="F60" s="82"/>
      <c r="K60" s="82"/>
      <c r="M60" s="6"/>
      <c r="N60" s="6"/>
    </row>
    <row r="61" spans="2:14" x14ac:dyDescent="0.2">
      <c r="F61" s="82"/>
      <c r="K61" s="82"/>
      <c r="M61" s="6"/>
      <c r="N61" s="6"/>
    </row>
    <row r="62" spans="2:14" x14ac:dyDescent="0.2">
      <c r="F62" s="82"/>
      <c r="K62" s="82"/>
      <c r="M62" s="6"/>
      <c r="N62" s="6"/>
    </row>
    <row r="63" spans="2:14" x14ac:dyDescent="0.2">
      <c r="F63" s="82"/>
      <c r="K63" s="82"/>
      <c r="M63" s="6"/>
      <c r="N63" s="6"/>
    </row>
    <row r="64" spans="2:14" x14ac:dyDescent="0.2">
      <c r="F64" s="82"/>
      <c r="K64" s="82"/>
      <c r="M64" s="6"/>
      <c r="N64" s="6"/>
    </row>
    <row r="65" spans="6:14" x14ac:dyDescent="0.2">
      <c r="F65" s="82"/>
      <c r="K65" s="82"/>
      <c r="M65" s="6"/>
      <c r="N65" s="6"/>
    </row>
    <row r="66" spans="6:14" x14ac:dyDescent="0.2">
      <c r="F66" s="82"/>
      <c r="K66" s="82"/>
      <c r="M66" s="6"/>
      <c r="N66" s="6"/>
    </row>
    <row r="67" spans="6:14" x14ac:dyDescent="0.2">
      <c r="F67" s="82"/>
      <c r="K67" s="82"/>
      <c r="M67" s="6"/>
      <c r="N67" s="6"/>
    </row>
    <row r="68" spans="6:14" x14ac:dyDescent="0.2">
      <c r="F68" s="82"/>
      <c r="K68" s="150"/>
      <c r="L68" s="151"/>
      <c r="M68" s="152"/>
      <c r="N68" s="6"/>
    </row>
    <row r="69" spans="6:14" x14ac:dyDescent="0.2">
      <c r="F69" s="150"/>
      <c r="G69" s="151"/>
      <c r="H69" s="151"/>
      <c r="I69" s="151"/>
      <c r="J69" s="151"/>
      <c r="K69" s="151"/>
      <c r="L69" s="151"/>
      <c r="M69" s="151"/>
      <c r="N69" s="152"/>
    </row>
  </sheetData>
  <mergeCells count="4">
    <mergeCell ref="B5:E5"/>
    <mergeCell ref="G5:M5"/>
    <mergeCell ref="G7:I7"/>
    <mergeCell ref="K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04BD-91E0-46B5-AFB6-843A748F90BA}">
  <dimension ref="B1:C72"/>
  <sheetViews>
    <sheetView tabSelected="1" topLeftCell="A46" workbookViewId="0">
      <selection activeCell="C22" sqref="C22"/>
    </sheetView>
  </sheetViews>
  <sheetFormatPr defaultRowHeight="12.75" x14ac:dyDescent="0.2"/>
  <cols>
    <col min="1" max="1" width="5.28515625" customWidth="1"/>
    <col min="2" max="2" width="31.5703125" customWidth="1"/>
    <col min="3" max="3" width="14.42578125" customWidth="1"/>
  </cols>
  <sheetData>
    <row r="1" spans="2:3" x14ac:dyDescent="0.2">
      <c r="B1" s="227" t="s">
        <v>142</v>
      </c>
      <c r="C1" s="227"/>
    </row>
    <row r="2" spans="2:3" x14ac:dyDescent="0.2">
      <c r="B2" s="154"/>
      <c r="C2" s="154"/>
    </row>
    <row r="3" spans="2:3" ht="15" x14ac:dyDescent="0.25">
      <c r="B3" s="155" t="s">
        <v>143</v>
      </c>
    </row>
    <row r="4" spans="2:3" x14ac:dyDescent="0.2">
      <c r="B4" s="156" t="s">
        <v>144</v>
      </c>
    </row>
    <row r="5" spans="2:3" x14ac:dyDescent="0.2">
      <c r="B5" s="156" t="s">
        <v>145</v>
      </c>
    </row>
    <row r="6" spans="2:3" x14ac:dyDescent="0.2">
      <c r="B6" s="156" t="s">
        <v>146</v>
      </c>
    </row>
    <row r="7" spans="2:3" x14ac:dyDescent="0.2">
      <c r="B7" s="156" t="s">
        <v>147</v>
      </c>
    </row>
    <row r="8" spans="2:3" x14ac:dyDescent="0.2">
      <c r="B8" s="156"/>
    </row>
    <row r="9" spans="2:3" ht="15" x14ac:dyDescent="0.25">
      <c r="B9" s="157" t="s">
        <v>148</v>
      </c>
    </row>
    <row r="10" spans="2:3" ht="15" x14ac:dyDescent="0.25">
      <c r="B10" s="158" t="s">
        <v>149</v>
      </c>
    </row>
    <row r="11" spans="2:3" x14ac:dyDescent="0.2">
      <c r="B11" s="156" t="s">
        <v>150</v>
      </c>
    </row>
    <row r="12" spans="2:3" x14ac:dyDescent="0.2">
      <c r="B12" s="156" t="s">
        <v>151</v>
      </c>
    </row>
    <row r="13" spans="2:3" x14ac:dyDescent="0.2">
      <c r="B13" s="156" t="s">
        <v>152</v>
      </c>
    </row>
    <row r="14" spans="2:3" x14ac:dyDescent="0.2">
      <c r="B14" s="156" t="s">
        <v>153</v>
      </c>
    </row>
    <row r="15" spans="2:3" ht="15" x14ac:dyDescent="0.25">
      <c r="B15" s="141" t="s">
        <v>154</v>
      </c>
    </row>
    <row r="16" spans="2:3" ht="15" x14ac:dyDescent="0.25">
      <c r="B16" s="141" t="s">
        <v>155</v>
      </c>
    </row>
    <row r="17" spans="2:2" ht="15" x14ac:dyDescent="0.25">
      <c r="B17" s="141" t="s">
        <v>156</v>
      </c>
    </row>
    <row r="19" spans="2:2" ht="15" x14ac:dyDescent="0.25">
      <c r="B19" s="158" t="s">
        <v>157</v>
      </c>
    </row>
    <row r="20" spans="2:2" x14ac:dyDescent="0.2">
      <c r="B20" s="156" t="s">
        <v>158</v>
      </c>
    </row>
    <row r="21" spans="2:2" x14ac:dyDescent="0.2">
      <c r="B21" s="156" t="s">
        <v>159</v>
      </c>
    </row>
    <row r="22" spans="2:2" ht="25.5" x14ac:dyDescent="0.2">
      <c r="B22" s="159" t="s">
        <v>160</v>
      </c>
    </row>
    <row r="23" spans="2:2" x14ac:dyDescent="0.2">
      <c r="B23" s="159"/>
    </row>
    <row r="24" spans="2:2" x14ac:dyDescent="0.2">
      <c r="B24" s="159" t="s">
        <v>161</v>
      </c>
    </row>
    <row r="25" spans="2:2" x14ac:dyDescent="0.2">
      <c r="B25" s="159" t="s">
        <v>162</v>
      </c>
    </row>
    <row r="26" spans="2:2" x14ac:dyDescent="0.2">
      <c r="B26" s="159" t="s">
        <v>163</v>
      </c>
    </row>
    <row r="27" spans="2:2" x14ac:dyDescent="0.2">
      <c r="B27" s="159"/>
    </row>
    <row r="28" spans="2:2" ht="15" x14ac:dyDescent="0.25">
      <c r="B28" s="160" t="s">
        <v>164</v>
      </c>
    </row>
    <row r="29" spans="2:2" x14ac:dyDescent="0.2">
      <c r="B29" s="156" t="s">
        <v>165</v>
      </c>
    </row>
    <row r="30" spans="2:2" x14ac:dyDescent="0.2">
      <c r="B30" s="156" t="s">
        <v>166</v>
      </c>
    </row>
    <row r="31" spans="2:2" x14ac:dyDescent="0.2">
      <c r="B31" s="156" t="s">
        <v>167</v>
      </c>
    </row>
    <row r="32" spans="2:2" x14ac:dyDescent="0.2">
      <c r="B32" s="156" t="s">
        <v>168</v>
      </c>
    </row>
    <row r="33" spans="2:2" ht="15" x14ac:dyDescent="0.25">
      <c r="B33" s="160" t="s">
        <v>169</v>
      </c>
    </row>
    <row r="34" spans="2:2" x14ac:dyDescent="0.2">
      <c r="B34" s="156" t="s">
        <v>30</v>
      </c>
    </row>
    <row r="35" spans="2:2" x14ac:dyDescent="0.2">
      <c r="B35" s="156" t="s">
        <v>170</v>
      </c>
    </row>
    <row r="36" spans="2:2" x14ac:dyDescent="0.2">
      <c r="B36" s="156"/>
    </row>
    <row r="37" spans="2:2" ht="15" x14ac:dyDescent="0.25">
      <c r="B37" s="160" t="s">
        <v>171</v>
      </c>
    </row>
    <row r="38" spans="2:2" x14ac:dyDescent="0.2">
      <c r="B38" s="156" t="s">
        <v>172</v>
      </c>
    </row>
    <row r="39" spans="2:2" x14ac:dyDescent="0.2">
      <c r="B39" s="156" t="s">
        <v>173</v>
      </c>
    </row>
    <row r="40" spans="2:2" x14ac:dyDescent="0.2">
      <c r="B40" s="156" t="s">
        <v>174</v>
      </c>
    </row>
    <row r="41" spans="2:2" x14ac:dyDescent="0.2">
      <c r="B41" s="156" t="s">
        <v>175</v>
      </c>
    </row>
    <row r="42" spans="2:2" x14ac:dyDescent="0.2">
      <c r="B42" s="156" t="s">
        <v>176</v>
      </c>
    </row>
    <row r="44" spans="2:2" ht="15" x14ac:dyDescent="0.25">
      <c r="B44" s="161" t="s">
        <v>177</v>
      </c>
    </row>
    <row r="45" spans="2:2" x14ac:dyDescent="0.2">
      <c r="B45" s="156" t="s">
        <v>178</v>
      </c>
    </row>
    <row r="46" spans="2:2" ht="15" x14ac:dyDescent="0.25">
      <c r="B46" s="141" t="s">
        <v>179</v>
      </c>
    </row>
    <row r="47" spans="2:2" x14ac:dyDescent="0.2">
      <c r="B47" s="162" t="s">
        <v>180</v>
      </c>
    </row>
    <row r="48" spans="2:2" x14ac:dyDescent="0.2">
      <c r="B48" s="156" t="s">
        <v>181</v>
      </c>
    </row>
    <row r="49" spans="2:3" x14ac:dyDescent="0.2">
      <c r="B49" s="156" t="s">
        <v>182</v>
      </c>
    </row>
    <row r="50" spans="2:3" ht="15" x14ac:dyDescent="0.25">
      <c r="B50" s="141" t="s">
        <v>183</v>
      </c>
    </row>
    <row r="51" spans="2:3" ht="15" x14ac:dyDescent="0.25">
      <c r="B51" s="141" t="s">
        <v>184</v>
      </c>
    </row>
    <row r="52" spans="2:3" ht="15" x14ac:dyDescent="0.25">
      <c r="B52" s="141" t="s">
        <v>185</v>
      </c>
    </row>
    <row r="53" spans="2:3" ht="15" x14ac:dyDescent="0.25">
      <c r="B53" s="141" t="s">
        <v>157</v>
      </c>
    </row>
    <row r="54" spans="2:3" x14ac:dyDescent="0.2">
      <c r="B54" s="156" t="s">
        <v>186</v>
      </c>
    </row>
    <row r="55" spans="2:3" x14ac:dyDescent="0.2">
      <c r="B55" s="163" t="s">
        <v>187</v>
      </c>
    </row>
    <row r="56" spans="2:3" x14ac:dyDescent="0.2">
      <c r="B56" s="156" t="s">
        <v>188</v>
      </c>
    </row>
    <row r="57" spans="2:3" x14ac:dyDescent="0.2">
      <c r="B57" s="156" t="s">
        <v>189</v>
      </c>
    </row>
    <row r="58" spans="2:3" x14ac:dyDescent="0.2">
      <c r="B58" s="164" t="s">
        <v>190</v>
      </c>
    </row>
    <row r="59" spans="2:3" ht="15" x14ac:dyDescent="0.25">
      <c r="B59" s="141" t="s">
        <v>191</v>
      </c>
    </row>
    <row r="60" spans="2:3" ht="15" x14ac:dyDescent="0.25">
      <c r="B60" s="141" t="s">
        <v>192</v>
      </c>
    </row>
    <row r="61" spans="2:3" x14ac:dyDescent="0.2">
      <c r="B61" s="156" t="s">
        <v>193</v>
      </c>
    </row>
    <row r="62" spans="2:3" x14ac:dyDescent="0.2">
      <c r="B62" s="156" t="s">
        <v>194</v>
      </c>
    </row>
    <row r="63" spans="2:3" x14ac:dyDescent="0.2">
      <c r="B63" s="156" t="s">
        <v>195</v>
      </c>
      <c r="C63" t="s">
        <v>196</v>
      </c>
    </row>
    <row r="64" spans="2:3" ht="15" x14ac:dyDescent="0.25">
      <c r="B64" s="141" t="s">
        <v>197</v>
      </c>
    </row>
    <row r="65" spans="2:2" x14ac:dyDescent="0.2">
      <c r="B65" s="156" t="s">
        <v>198</v>
      </c>
    </row>
    <row r="66" spans="2:2" x14ac:dyDescent="0.2">
      <c r="B66" s="156" t="s">
        <v>199</v>
      </c>
    </row>
    <row r="67" spans="2:2" x14ac:dyDescent="0.2">
      <c r="B67" s="156" t="s">
        <v>200</v>
      </c>
    </row>
    <row r="68" spans="2:2" x14ac:dyDescent="0.2">
      <c r="B68" s="156" t="s">
        <v>201</v>
      </c>
    </row>
    <row r="69" spans="2:2" x14ac:dyDescent="0.2">
      <c r="B69" s="156"/>
    </row>
    <row r="70" spans="2:2" ht="15" x14ac:dyDescent="0.25">
      <c r="B70" s="165" t="s">
        <v>202</v>
      </c>
    </row>
    <row r="71" spans="2:2" ht="15" x14ac:dyDescent="0.25">
      <c r="B71" s="165" t="s">
        <v>203</v>
      </c>
    </row>
    <row r="72" spans="2:2" ht="15" x14ac:dyDescent="0.25">
      <c r="B72" s="165" t="s">
        <v>204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CMS summary</vt:lpstr>
      <vt:lpstr>Formula CS3</vt:lpstr>
      <vt:lpstr>Process</vt:lpstr>
      <vt:lpstr>Checklist 1st mtg Sch1</vt:lpstr>
    </vt:vector>
  </TitlesOfParts>
  <Company>Family Law Consortium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FLC User</dc:creator>
  <cp:lastModifiedBy>James Pirrie</cp:lastModifiedBy>
  <cp:lastPrinted>2019-09-24T06:01:02Z</cp:lastPrinted>
  <dcterms:created xsi:type="dcterms:W3CDTF">2000-10-09T13:47:42Z</dcterms:created>
  <dcterms:modified xsi:type="dcterms:W3CDTF">2020-05-07T19:43:09Z</dcterms:modified>
</cp:coreProperties>
</file>